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3980" windowHeight="8580" activeTab="0"/>
  </bookViews>
  <sheets>
    <sheet name="270" sheetId="1" r:id="rId1"/>
    <sheet name="140" sheetId="2" r:id="rId2"/>
    <sheet name="1000" sheetId="3" r:id="rId3"/>
    <sheet name="Visors" sheetId="4" r:id="rId4"/>
    <sheet name="VisorPendent" sheetId="5" r:id="rId5"/>
    <sheet name="Formules" sheetId="6" r:id="rId6"/>
  </sheets>
  <definedNames>
    <definedName name="__123Graph_A" localSheetId="2" hidden="1">'1000'!#REF!</definedName>
    <definedName name="__123Graph_A" localSheetId="1" hidden="1">'140'!#REF!</definedName>
    <definedName name="__123Graph_A" localSheetId="0" hidden="1">'270'!#REF!</definedName>
    <definedName name="__123Graph_Assight_m" localSheetId="2" hidden="1">'1000'!#REF!</definedName>
    <definedName name="__123Graph_Assight_m" localSheetId="1" hidden="1">'140'!#REF!</definedName>
    <definedName name="__123Graph_Assight_m" localSheetId="0" hidden="1">'270'!#REF!</definedName>
    <definedName name="__123Graph_Assight_y" localSheetId="2" hidden="1">'1000'!#REF!</definedName>
    <definedName name="__123Graph_Assight_y" localSheetId="1" hidden="1">'140'!#REF!</definedName>
    <definedName name="__123Graph_Assight_y" localSheetId="0" hidden="1">'270'!#REF!</definedName>
    <definedName name="__123Graph_ASticky" localSheetId="2" hidden="1">'1000'!$B$17:$W$17</definedName>
    <definedName name="__123Graph_ASticky" localSheetId="1" hidden="1">'140'!$B$17:$W$17</definedName>
    <definedName name="__123Graph_ASticky" localSheetId="0" hidden="1">'270'!$B$17:$W$17</definedName>
    <definedName name="__123Graph_Atraj_y" localSheetId="2" hidden="1">'1000'!#REF!</definedName>
    <definedName name="__123Graph_Atraj_y" localSheetId="1" hidden="1">'140'!#REF!</definedName>
    <definedName name="__123Graph_Atraj_y" localSheetId="0" hidden="1">'270'!#REF!</definedName>
    <definedName name="__123Graph_Aviscous" localSheetId="2" hidden="1">'1000'!$B$17:$W$17</definedName>
    <definedName name="__123Graph_Aviscous" localSheetId="1" hidden="1">'140'!$B$17:$W$17</definedName>
    <definedName name="__123Graph_Aviscous" localSheetId="0" hidden="1">'270'!$B$17:$W$17</definedName>
    <definedName name="__123Graph_X" localSheetId="2" hidden="1">'1000'!#REF!</definedName>
    <definedName name="__123Graph_X" localSheetId="1" hidden="1">'140'!#REF!</definedName>
    <definedName name="__123Graph_X" localSheetId="0" hidden="1">'270'!#REF!</definedName>
    <definedName name="__123Graph_Xssight_m" localSheetId="2" hidden="1">'1000'!#REF!</definedName>
    <definedName name="__123Graph_Xssight_m" localSheetId="1" hidden="1">'140'!#REF!</definedName>
    <definedName name="__123Graph_Xssight_m" localSheetId="0" hidden="1">'270'!#REF!</definedName>
    <definedName name="__123Graph_Xssight_y" localSheetId="2" hidden="1">'1000'!#REF!</definedName>
    <definedName name="__123Graph_Xssight_y" localSheetId="1" hidden="1">'140'!#REF!</definedName>
    <definedName name="__123Graph_Xssight_y" localSheetId="0" hidden="1">'270'!#REF!</definedName>
    <definedName name="__123Graph_XSticky" localSheetId="2" hidden="1">'1000'!$B$16:$W$16</definedName>
    <definedName name="__123Graph_XSticky" localSheetId="1" hidden="1">'140'!$B$16:$W$16</definedName>
    <definedName name="__123Graph_XSticky" localSheetId="0" hidden="1">'270'!$B$16:$W$16</definedName>
    <definedName name="__123Graph_Xtraj_y" localSheetId="2" hidden="1">'1000'!#REF!</definedName>
    <definedName name="__123Graph_Xtraj_y" localSheetId="1" hidden="1">'140'!#REF!</definedName>
    <definedName name="__123Graph_Xtraj_y" localSheetId="0" hidden="1">'270'!#REF!</definedName>
    <definedName name="__123Graph_Xviscous" localSheetId="2" hidden="1">'1000'!$B$16:$W$16</definedName>
    <definedName name="__123Graph_Xviscous" localSheetId="1" hidden="1">'140'!$B$16:$W$16</definedName>
    <definedName name="__123Graph_Xviscous" localSheetId="0" hidden="1">'270'!$B$16:$W$16</definedName>
    <definedName name="_xlnm.Print_Area" localSheetId="2">'1000'!$A$1:$N$62</definedName>
    <definedName name="_xlnm.Print_Area" localSheetId="1">'140'!$A$1:$N$62</definedName>
    <definedName name="_xlnm.Print_Titles" localSheetId="2">'1000'!$1:$15</definedName>
    <definedName name="_xlnm.Print_Titles" localSheetId="1">'140'!$1:$15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<sst xmlns="http://schemas.openxmlformats.org/spreadsheetml/2006/main" count="193" uniqueCount="94">
  <si>
    <t>Velocitat (fps)</t>
  </si>
  <si>
    <t>Elev mira (º)</t>
  </si>
  <si>
    <t>Elev sol (º)</t>
  </si>
  <si>
    <t>Elev tot. (º)</t>
  </si>
  <si>
    <t>Vx (fps)</t>
  </si>
  <si>
    <t>Vy (fps)</t>
  </si>
  <si>
    <t>Delta D (m)</t>
  </si>
  <si>
    <t>D (m)</t>
  </si>
  <si>
    <t>V</t>
  </si>
  <si>
    <t>Vx   (fps)</t>
  </si>
  <si>
    <t>Vy   (fps)</t>
  </si>
  <si>
    <t>Inclinació (º)</t>
  </si>
  <si>
    <t>Inclinació (m/m)</t>
  </si>
  <si>
    <t>Temps (secs)</t>
  </si>
  <si>
    <t>Velocitat (m/s)</t>
  </si>
  <si>
    <t>Elev mira</t>
  </si>
  <si>
    <t>Trajectòria d'una fletxa que surt a 270 fps, sense fricció, apuntada a Dx max metres de distància  horitzontal sobre una inclinació de Elev sol graus.</t>
  </si>
  <si>
    <t>Trajectòria d'una fletxa que surt a 140 fps, sense fricció, apuntada a Dx max metres de distància  horitzontal sobre una inclinació de Elev sol graus.</t>
  </si>
  <si>
    <t>Trajectòria d'una fletxa que surt a 1000 fps, sense fricció, apuntada a Dx max metres de distància  horitzontal sobre una inclinació de Elev sol graus.</t>
  </si>
  <si>
    <t>D</t>
  </si>
  <si>
    <t>ºElev</t>
  </si>
  <si>
    <t>Difs.</t>
  </si>
  <si>
    <t>Posicions de visor</t>
  </si>
  <si>
    <t>Geometria visor</t>
  </si>
  <si>
    <t>Posició del 0</t>
  </si>
  <si>
    <t>Dist ull a fletxa</t>
  </si>
  <si>
    <t>Dist ull a visor</t>
  </si>
  <si>
    <t>mm Visor</t>
  </si>
  <si>
    <t>POSICIONS de VISOR segons la VELOCITAT de la FLETXA</t>
  </si>
  <si>
    <t>fps</t>
  </si>
  <si>
    <t>m/s</t>
  </si>
  <si>
    <t>POSICIONS de VISOR segons la PENDENT</t>
  </si>
  <si>
    <t>Pendent del sol :</t>
  </si>
  <si>
    <t>Dx</t>
  </si>
  <si>
    <t>Elev.1</t>
  </si>
  <si>
    <t>Elev.2</t>
  </si>
  <si>
    <t>Elev.3</t>
  </si>
  <si>
    <t>Valors iteració</t>
  </si>
  <si>
    <t>Elev.Hrz.</t>
  </si>
  <si>
    <t>Error d'alçada</t>
  </si>
  <si>
    <t>L'elevació es calcula en tres iteracions partint del valor per Dx en horit-zontal. Convergeix ràpidament, i la diferència entre la segona i la tercera iteració és en general despreciable.</t>
  </si>
  <si>
    <t>La columna error d'alçada correspon a la desviació respecte al centre en cm si l'elevació que es pren és la que correspon a un tir a Dx metres en horitzontal en comptes de l'elevació correcte.</t>
  </si>
  <si>
    <t>RAIZ(F20^2+G20^2)</t>
  </si>
  <si>
    <t>Elev mira en pla</t>
  </si>
  <si>
    <t>Elev mira pendent</t>
  </si>
  <si>
    <t>Equacions usades en cada fila de la trajectòria</t>
  </si>
  <si>
    <t>D max</t>
  </si>
  <si>
    <t>X (m)</t>
  </si>
  <si>
    <t>Delta X (m)</t>
  </si>
  <si>
    <t>X (Yds)</t>
  </si>
  <si>
    <t xml:space="preserve"> Y (")</t>
  </si>
  <si>
    <t>Y (cm)</t>
  </si>
  <si>
    <t>X max</t>
  </si>
  <si>
    <t>2*F3*COS(F5*PI()/180)*F3*SENO(F5*PI()/180)/32,185*0,3048</t>
  </si>
  <si>
    <t>H5/COS(F6/180*PI())</t>
  </si>
  <si>
    <t>D  max</t>
  </si>
  <si>
    <t>H5  =</t>
  </si>
  <si>
    <t>H9  =</t>
  </si>
  <si>
    <t>B20 =</t>
  </si>
  <si>
    <t>C20 =</t>
  </si>
  <si>
    <t>D20 =</t>
  </si>
  <si>
    <t>E20 =</t>
  </si>
  <si>
    <t>F20 =</t>
  </si>
  <si>
    <t>G20 =</t>
  </si>
  <si>
    <t>H20 =</t>
  </si>
  <si>
    <t>I20 =</t>
  </si>
  <si>
    <t>J20 =</t>
  </si>
  <si>
    <t>K20 =</t>
  </si>
  <si>
    <t>L20 =</t>
  </si>
  <si>
    <t>M20 =</t>
  </si>
  <si>
    <t>O20 =</t>
  </si>
  <si>
    <t>C20/COS($F$6/180*PI())</t>
  </si>
  <si>
    <t>C19+$F$12</t>
  </si>
  <si>
    <t>C20/0,9144</t>
  </si>
  <si>
    <t>F19</t>
  </si>
  <si>
    <t>$F$10-32,185*J20</t>
  </si>
  <si>
    <t>ATAN(G20/F20)*(180/PI())</t>
  </si>
  <si>
    <t>1/TAN(H20/180*PI())</t>
  </si>
  <si>
    <t>D20*3/$F$9</t>
  </si>
  <si>
    <t>12*($F$10*J20-0,5*32,185*J20^2)-TAN($F$6*PI()/180)*D20*36</t>
  </si>
  <si>
    <t>K20*2,54</t>
  </si>
  <si>
    <t>0,5*ASENO(9,81*C20/$F$4^2)*180/PI()</t>
  </si>
  <si>
    <t>ASENO(9,81*C20*COS($F$6/180*PI())/(2*$F$4^2*COS((M20+$F$6)/180*PI())))*180/PI()</t>
  </si>
  <si>
    <t>V (fps)</t>
  </si>
  <si>
    <t>V  (fps)</t>
  </si>
  <si>
    <t>X  (Yds)</t>
  </si>
  <si>
    <t>X  (m)</t>
  </si>
  <si>
    <t>D  (m)</t>
  </si>
  <si>
    <t>Vx  (fps)</t>
  </si>
  <si>
    <t>Vy  (fps)</t>
  </si>
  <si>
    <t>Y  (")</t>
  </si>
  <si>
    <t>Y  (cm)</t>
  </si>
  <si>
    <t>Y (")</t>
  </si>
  <si>
    <t>Vy     (fps)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</si>
</sst>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0.0000_)"/>
    <numFmt numFmtId="177" formatCode="0.0_)"/>
    <numFmt numFmtId="178" formatCode="0_)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"/>
    <numFmt numFmtId="184" formatCode="0.0000"/>
    <numFmt numFmtId="185" formatCode="#,##0.0"/>
    <numFmt numFmtId="186" formatCode="0.000"/>
  </numFmts>
  <fonts count="1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sz val="10"/>
      <color indexed="12"/>
      <name val="Courier"/>
      <family val="0"/>
    </font>
    <font>
      <b/>
      <sz val="10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ourier"/>
      <family val="0"/>
    </font>
    <font>
      <b/>
      <sz val="9"/>
      <color indexed="8"/>
      <name val="Arial"/>
      <family val="2"/>
    </font>
    <font>
      <b/>
      <sz val="10"/>
      <color indexed="12"/>
      <name val="Courier"/>
      <family val="3"/>
    </font>
    <font>
      <b/>
      <sz val="10"/>
      <color indexed="8"/>
      <name val="Courier"/>
      <family val="3"/>
    </font>
    <font>
      <b/>
      <u val="single"/>
      <sz val="12"/>
      <name val="Courier"/>
      <family val="3"/>
    </font>
    <font>
      <u val="single"/>
      <sz val="10"/>
      <name val="Courier"/>
      <family val="3"/>
    </font>
    <font>
      <b/>
      <sz val="10"/>
      <name val="Courier New"/>
      <family val="3"/>
    </font>
    <font>
      <b/>
      <sz val="11"/>
      <name val="Courier New"/>
      <family val="3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7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9" fillId="2" borderId="11" xfId="0" applyFont="1" applyFill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0" fontId="4" fillId="0" borderId="9" xfId="0" applyFont="1" applyBorder="1" applyAlignment="1">
      <alignment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3" borderId="16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183" fontId="9" fillId="0" borderId="19" xfId="0" applyNumberFormat="1" applyFont="1" applyBorder="1" applyAlignment="1" applyProtection="1">
      <alignment horizontal="center"/>
      <protection locked="0"/>
    </xf>
    <xf numFmtId="2" fontId="9" fillId="0" borderId="19" xfId="0" applyNumberFormat="1" applyFont="1" applyBorder="1" applyAlignment="1" applyProtection="1">
      <alignment horizontal="center"/>
      <protection locked="0"/>
    </xf>
    <xf numFmtId="184" fontId="9" fillId="0" borderId="19" xfId="0" applyNumberFormat="1" applyFont="1" applyBorder="1" applyAlignment="1" applyProtection="1">
      <alignment horizontal="center"/>
      <protection locked="0"/>
    </xf>
    <xf numFmtId="183" fontId="1" fillId="0" borderId="20" xfId="0" applyNumberFormat="1" applyFont="1" applyBorder="1" applyAlignment="1">
      <alignment horizontal="center"/>
    </xf>
    <xf numFmtId="183" fontId="9" fillId="0" borderId="21" xfId="0" applyNumberFormat="1" applyFont="1" applyBorder="1" applyAlignment="1" applyProtection="1">
      <alignment horizontal="center"/>
      <protection locked="0"/>
    </xf>
    <xf numFmtId="2" fontId="9" fillId="0" borderId="21" xfId="0" applyNumberFormat="1" applyFont="1" applyBorder="1" applyAlignment="1" applyProtection="1">
      <alignment horizontal="center"/>
      <protection locked="0"/>
    </xf>
    <xf numFmtId="184" fontId="9" fillId="0" borderId="21" xfId="0" applyNumberFormat="1" applyFont="1" applyBorder="1" applyAlignment="1" applyProtection="1">
      <alignment horizontal="center"/>
      <protection locked="0"/>
    </xf>
    <xf numFmtId="183" fontId="1" fillId="0" borderId="22" xfId="0" applyNumberFormat="1" applyFont="1" applyBorder="1" applyAlignment="1">
      <alignment horizontal="center"/>
    </xf>
    <xf numFmtId="177" fontId="6" fillId="0" borderId="0" xfId="0" applyNumberFormat="1" applyFont="1" applyAlignment="1" applyProtection="1">
      <alignment/>
      <protection locked="0"/>
    </xf>
    <xf numFmtId="183" fontId="9" fillId="3" borderId="21" xfId="0" applyNumberFormat="1" applyFont="1" applyFill="1" applyBorder="1" applyAlignment="1" applyProtection="1">
      <alignment horizontal="center"/>
      <protection locked="0"/>
    </xf>
    <xf numFmtId="2" fontId="9" fillId="3" borderId="21" xfId="0" applyNumberFormat="1" applyFont="1" applyFill="1" applyBorder="1" applyAlignment="1" applyProtection="1">
      <alignment horizontal="center"/>
      <protection locked="0"/>
    </xf>
    <xf numFmtId="184" fontId="9" fillId="3" borderId="21" xfId="0" applyNumberFormat="1" applyFont="1" applyFill="1" applyBorder="1" applyAlignment="1" applyProtection="1">
      <alignment horizontal="center"/>
      <protection locked="0"/>
    </xf>
    <xf numFmtId="183" fontId="1" fillId="3" borderId="22" xfId="0" applyNumberFormat="1" applyFont="1" applyFill="1" applyBorder="1" applyAlignment="1">
      <alignment horizontal="center"/>
    </xf>
    <xf numFmtId="183" fontId="9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2" fontId="8" fillId="2" borderId="28" xfId="0" applyNumberFormat="1" applyFont="1" applyFill="1" applyBorder="1" applyAlignment="1" applyProtection="1">
      <alignment horizontal="center"/>
      <protection locked="0"/>
    </xf>
    <xf numFmtId="186" fontId="10" fillId="0" borderId="0" xfId="0" applyNumberFormat="1" applyFont="1" applyAlignment="1">
      <alignment horizontal="center"/>
    </xf>
    <xf numFmtId="186" fontId="8" fillId="0" borderId="0" xfId="0" applyNumberFormat="1" applyFont="1" applyAlignment="1" applyProtection="1">
      <alignment horizontal="center"/>
      <protection locked="0"/>
    </xf>
    <xf numFmtId="0" fontId="11" fillId="4" borderId="29" xfId="0" applyFont="1" applyFill="1" applyBorder="1" applyAlignment="1" applyProtection="1">
      <alignment horizontal="center" vertical="center" wrapText="1"/>
      <protection locked="0"/>
    </xf>
    <xf numFmtId="186" fontId="1" fillId="2" borderId="30" xfId="0" applyNumberFormat="1" applyFont="1" applyFill="1" applyBorder="1" applyAlignment="1">
      <alignment horizontal="center"/>
    </xf>
    <xf numFmtId="186" fontId="1" fillId="2" borderId="31" xfId="0" applyNumberFormat="1" applyFont="1" applyFill="1" applyBorder="1" applyAlignment="1">
      <alignment horizontal="center"/>
    </xf>
    <xf numFmtId="186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183" fontId="1" fillId="0" borderId="32" xfId="0" applyNumberFormat="1" applyFont="1" applyBorder="1" applyAlignment="1">
      <alignment horizontal="center"/>
    </xf>
    <xf numFmtId="177" fontId="9" fillId="0" borderId="33" xfId="0" applyNumberFormat="1" applyFont="1" applyFill="1" applyBorder="1" applyAlignment="1" applyProtection="1">
      <alignment/>
      <protection locked="0"/>
    </xf>
    <xf numFmtId="1" fontId="8" fillId="0" borderId="33" xfId="0" applyNumberFormat="1" applyFont="1" applyFill="1" applyBorder="1" applyAlignment="1" applyProtection="1">
      <alignment/>
      <protection locked="0"/>
    </xf>
    <xf numFmtId="183" fontId="9" fillId="0" borderId="33" xfId="0" applyNumberFormat="1" applyFont="1" applyFill="1" applyBorder="1" applyAlignment="1" applyProtection="1">
      <alignment/>
      <protection locked="0"/>
    </xf>
    <xf numFmtId="178" fontId="8" fillId="0" borderId="33" xfId="0" applyNumberFormat="1" applyFont="1" applyFill="1" applyBorder="1" applyAlignment="1" applyProtection="1">
      <alignment/>
      <protection locked="0"/>
    </xf>
    <xf numFmtId="183" fontId="9" fillId="0" borderId="33" xfId="0" applyNumberFormat="1" applyFont="1" applyFill="1" applyBorder="1" applyAlignment="1" applyProtection="1">
      <alignment horizontal="center"/>
      <protection locked="0"/>
    </xf>
    <xf numFmtId="2" fontId="9" fillId="0" borderId="33" xfId="0" applyNumberFormat="1" applyFont="1" applyFill="1" applyBorder="1" applyAlignment="1" applyProtection="1">
      <alignment horizontal="center"/>
      <protection locked="0"/>
    </xf>
    <xf numFmtId="184" fontId="9" fillId="0" borderId="33" xfId="0" applyNumberFormat="1" applyFont="1" applyFill="1" applyBorder="1" applyAlignment="1" applyProtection="1">
      <alignment horizontal="center"/>
      <protection locked="0"/>
    </xf>
    <xf numFmtId="183" fontId="1" fillId="0" borderId="33" xfId="0" applyNumberFormat="1" applyFont="1" applyFill="1" applyBorder="1" applyAlignment="1">
      <alignment horizontal="center"/>
    </xf>
    <xf numFmtId="186" fontId="1" fillId="0" borderId="33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83" fontId="9" fillId="0" borderId="0" xfId="0" applyNumberFormat="1" applyFont="1" applyFill="1" applyBorder="1" applyAlignment="1" applyProtection="1">
      <alignment/>
      <protection locked="0"/>
    </xf>
    <xf numFmtId="178" fontId="8" fillId="0" borderId="0" xfId="0" applyNumberFormat="1" applyFont="1" applyFill="1" applyBorder="1" applyAlignment="1" applyProtection="1">
      <alignment/>
      <protection locked="0"/>
    </xf>
    <xf numFmtId="183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184" fontId="9" fillId="0" borderId="0" xfId="0" applyNumberFormat="1" applyFont="1" applyFill="1" applyBorder="1" applyAlignment="1" applyProtection="1">
      <alignment horizontal="center"/>
      <protection locked="0"/>
    </xf>
    <xf numFmtId="183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8" fillId="3" borderId="10" xfId="0" applyFont="1" applyFill="1" applyBorder="1" applyAlignment="1" applyProtection="1">
      <alignment horizontal="center"/>
      <protection locked="0"/>
    </xf>
    <xf numFmtId="184" fontId="10" fillId="0" borderId="0" xfId="0" applyNumberFormat="1" applyFont="1" applyAlignment="1">
      <alignment horizontal="center"/>
    </xf>
    <xf numFmtId="184" fontId="8" fillId="0" borderId="0" xfId="0" applyNumberFormat="1" applyFont="1" applyAlignment="1" applyProtection="1">
      <alignment horizontal="center"/>
      <protection locked="0"/>
    </xf>
    <xf numFmtId="184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184" fontId="1" fillId="2" borderId="30" xfId="0" applyNumberFormat="1" applyFont="1" applyFill="1" applyBorder="1" applyAlignment="1">
      <alignment horizontal="center"/>
    </xf>
    <xf numFmtId="184" fontId="1" fillId="0" borderId="33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0" fontId="12" fillId="0" borderId="34" xfId="0" applyFont="1" applyFill="1" applyBorder="1" applyAlignment="1" applyProtection="1">
      <alignment horizontal="center"/>
      <protection locked="0"/>
    </xf>
    <xf numFmtId="183" fontId="9" fillId="0" borderId="34" xfId="0" applyNumberFormat="1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9" fillId="2" borderId="35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>
      <alignment horizontal="center"/>
    </xf>
    <xf numFmtId="184" fontId="0" fillId="0" borderId="0" xfId="0" applyNumberFormat="1" applyAlignment="1">
      <alignment/>
    </xf>
    <xf numFmtId="186" fontId="0" fillId="0" borderId="12" xfId="0" applyNumberForma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3" fontId="13" fillId="0" borderId="0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4" fillId="0" borderId="0" xfId="0" applyFont="1" applyAlignment="1">
      <alignment horizontal="left"/>
    </xf>
    <xf numFmtId="0" fontId="0" fillId="2" borderId="15" xfId="0" applyFill="1" applyBorder="1" applyAlignment="1">
      <alignment horizontal="center"/>
    </xf>
    <xf numFmtId="186" fontId="0" fillId="0" borderId="26" xfId="0" applyNumberFormat="1" applyBorder="1" applyAlignment="1">
      <alignment horizontal="center"/>
    </xf>
    <xf numFmtId="186" fontId="0" fillId="0" borderId="6" xfId="0" applyNumberFormat="1" applyBorder="1" applyAlignment="1">
      <alignment horizontal="center"/>
    </xf>
    <xf numFmtId="186" fontId="0" fillId="0" borderId="9" xfId="0" applyNumberForma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0" fillId="6" borderId="38" xfId="0" applyFont="1" applyFill="1" applyBorder="1" applyAlignment="1">
      <alignment/>
    </xf>
    <xf numFmtId="0" fontId="10" fillId="6" borderId="39" xfId="0" applyFont="1" applyFill="1" applyBorder="1" applyAlignment="1">
      <alignment/>
    </xf>
    <xf numFmtId="0" fontId="10" fillId="6" borderId="40" xfId="0" applyFont="1" applyFill="1" applyBorder="1" applyAlignment="1">
      <alignment/>
    </xf>
    <xf numFmtId="0" fontId="10" fillId="2" borderId="2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1" fontId="10" fillId="0" borderId="43" xfId="0" applyNumberFormat="1" applyFont="1" applyFill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" fontId="10" fillId="0" borderId="42" xfId="0" applyNumberFormat="1" applyFont="1" applyBorder="1" applyAlignment="1">
      <alignment horizontal="center"/>
    </xf>
    <xf numFmtId="0" fontId="9" fillId="3" borderId="35" xfId="0" applyFont="1" applyFill="1" applyBorder="1" applyAlignment="1" applyProtection="1">
      <alignment horizontal="center"/>
      <protection locked="0"/>
    </xf>
    <xf numFmtId="186" fontId="9" fillId="0" borderId="34" xfId="0" applyNumberFormat="1" applyFont="1" applyFill="1" applyBorder="1" applyAlignment="1" applyProtection="1">
      <alignment horizontal="center"/>
      <protection locked="0"/>
    </xf>
    <xf numFmtId="1" fontId="10" fillId="0" borderId="47" xfId="0" applyNumberFormat="1" applyFont="1" applyFill="1" applyBorder="1" applyAlignment="1">
      <alignment horizontal="center"/>
    </xf>
    <xf numFmtId="186" fontId="0" fillId="0" borderId="48" xfId="0" applyNumberFormat="1" applyBorder="1" applyAlignment="1">
      <alignment horizontal="center"/>
    </xf>
    <xf numFmtId="186" fontId="0" fillId="0" borderId="49" xfId="0" applyNumberForma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9" fillId="0" borderId="23" xfId="0" applyNumberFormat="1" applyFont="1" applyBorder="1" applyAlignment="1" applyProtection="1">
      <alignment horizontal="center"/>
      <protection locked="0"/>
    </xf>
    <xf numFmtId="184" fontId="9" fillId="0" borderId="23" xfId="0" applyNumberFormat="1" applyFont="1" applyBorder="1" applyAlignment="1" applyProtection="1">
      <alignment horizontal="center"/>
      <protection locked="0"/>
    </xf>
    <xf numFmtId="0" fontId="10" fillId="2" borderId="16" xfId="0" applyFont="1" applyFill="1" applyBorder="1" applyAlignment="1">
      <alignment horizontal="center"/>
    </xf>
    <xf numFmtId="186" fontId="0" fillId="0" borderId="39" xfId="0" applyNumberFormat="1" applyBorder="1" applyAlignment="1">
      <alignment horizontal="center"/>
    </xf>
    <xf numFmtId="186" fontId="0" fillId="0" borderId="40" xfId="0" applyNumberFormat="1" applyBorder="1" applyAlignment="1">
      <alignment horizontal="center"/>
    </xf>
    <xf numFmtId="186" fontId="0" fillId="0" borderId="19" xfId="0" applyNumberFormat="1" applyBorder="1" applyAlignment="1">
      <alignment horizontal="center"/>
    </xf>
    <xf numFmtId="186" fontId="0" fillId="0" borderId="35" xfId="0" applyNumberFormat="1" applyFont="1" applyBorder="1" applyAlignment="1">
      <alignment horizontal="center"/>
    </xf>
    <xf numFmtId="186" fontId="0" fillId="0" borderId="21" xfId="0" applyNumberForma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86" fontId="0" fillId="0" borderId="23" xfId="0" applyNumberForma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15" fillId="2" borderId="14" xfId="0" applyFont="1" applyFill="1" applyBorder="1" applyAlignment="1">
      <alignment horizontal="right"/>
    </xf>
    <xf numFmtId="186" fontId="0" fillId="0" borderId="54" xfId="0" applyNumberFormat="1" applyFont="1" applyBorder="1" applyAlignment="1">
      <alignment horizontal="center"/>
    </xf>
    <xf numFmtId="2" fontId="0" fillId="0" borderId="54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1" fontId="10" fillId="0" borderId="54" xfId="0" applyNumberFormat="1" applyFont="1" applyFill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183" fontId="10" fillId="0" borderId="54" xfId="0" applyNumberFormat="1" applyFont="1" applyFill="1" applyBorder="1" applyAlignment="1">
      <alignment horizontal="center"/>
    </xf>
    <xf numFmtId="183" fontId="10" fillId="0" borderId="42" xfId="0" applyNumberFormat="1" applyFont="1" applyFill="1" applyBorder="1" applyAlignment="1">
      <alignment horizontal="center"/>
    </xf>
    <xf numFmtId="183" fontId="10" fillId="0" borderId="47" xfId="0" applyNumberFormat="1" applyFont="1" applyFill="1" applyBorder="1" applyAlignment="1">
      <alignment horizontal="center"/>
    </xf>
    <xf numFmtId="183" fontId="10" fillId="0" borderId="43" xfId="0" applyNumberFormat="1" applyFont="1" applyFill="1" applyBorder="1" applyAlignment="1">
      <alignment horizontal="center"/>
    </xf>
    <xf numFmtId="183" fontId="10" fillId="0" borderId="41" xfId="0" applyNumberFormat="1" applyFont="1" applyFill="1" applyBorder="1" applyAlignment="1">
      <alignment horizontal="center"/>
    </xf>
    <xf numFmtId="183" fontId="9" fillId="3" borderId="23" xfId="0" applyNumberFormat="1" applyFont="1" applyFill="1" applyBorder="1" applyAlignment="1" applyProtection="1">
      <alignment horizontal="center"/>
      <protection locked="0"/>
    </xf>
    <xf numFmtId="2" fontId="9" fillId="3" borderId="23" xfId="0" applyNumberFormat="1" applyFont="1" applyFill="1" applyBorder="1" applyAlignment="1" applyProtection="1">
      <alignment horizontal="center"/>
      <protection locked="0"/>
    </xf>
    <xf numFmtId="184" fontId="9" fillId="3" borderId="23" xfId="0" applyNumberFormat="1" applyFont="1" applyFill="1" applyBorder="1" applyAlignment="1" applyProtection="1">
      <alignment horizontal="center"/>
      <protection locked="0"/>
    </xf>
    <xf numFmtId="183" fontId="1" fillId="3" borderId="32" xfId="0" applyNumberFormat="1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177" fontId="9" fillId="0" borderId="41" xfId="0" applyNumberFormat="1" applyFont="1" applyFill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177" fontId="9" fillId="0" borderId="42" xfId="0" applyNumberFormat="1" applyFont="1" applyFill="1" applyBorder="1" applyAlignment="1" applyProtection="1">
      <alignment horizontal="center"/>
      <protection locked="0"/>
    </xf>
    <xf numFmtId="1" fontId="8" fillId="0" borderId="6" xfId="0" applyNumberFormat="1" applyFont="1" applyBorder="1" applyAlignment="1" applyProtection="1">
      <alignment horizontal="center"/>
      <protection locked="0"/>
    </xf>
    <xf numFmtId="177" fontId="9" fillId="0" borderId="43" xfId="0" applyNumberFormat="1" applyFont="1" applyFill="1" applyBorder="1" applyAlignment="1" applyProtection="1">
      <alignment horizontal="center"/>
      <protection locked="0"/>
    </xf>
    <xf numFmtId="1" fontId="8" fillId="3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0" fillId="0" borderId="0" xfId="0" applyAlignment="1" quotePrefix="1">
      <alignment/>
    </xf>
    <xf numFmtId="0" fontId="10" fillId="0" borderId="0" xfId="0" applyFont="1" applyAlignment="1" quotePrefix="1">
      <alignment/>
    </xf>
    <xf numFmtId="2" fontId="9" fillId="2" borderId="35" xfId="0" applyNumberFormat="1" applyFont="1" applyFill="1" applyBorder="1" applyAlignment="1" applyProtection="1">
      <alignment horizontal="center"/>
      <protection locked="0"/>
    </xf>
    <xf numFmtId="2" fontId="9" fillId="2" borderId="12" xfId="0" applyNumberFormat="1" applyFont="1" applyFill="1" applyBorder="1" applyAlignment="1" applyProtection="1">
      <alignment/>
      <protection locked="0"/>
    </xf>
    <xf numFmtId="2" fontId="9" fillId="2" borderId="10" xfId="0" applyNumberFormat="1" applyFont="1" applyFill="1" applyBorder="1" applyAlignment="1" applyProtection="1">
      <alignment/>
      <protection locked="0"/>
    </xf>
    <xf numFmtId="183" fontId="9" fillId="3" borderId="16" xfId="0" applyNumberFormat="1" applyFont="1" applyFill="1" applyBorder="1" applyAlignment="1" applyProtection="1">
      <alignment/>
      <protection locked="0"/>
    </xf>
    <xf numFmtId="186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186" fontId="11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186" fontId="9" fillId="0" borderId="0" xfId="0" applyNumberFormat="1" applyFont="1" applyFill="1" applyBorder="1" applyAlignment="1" applyProtection="1">
      <alignment horizontal="center"/>
      <protection locked="0"/>
    </xf>
    <xf numFmtId="183" fontId="9" fillId="0" borderId="55" xfId="0" applyNumberFormat="1" applyFont="1" applyFill="1" applyBorder="1" applyAlignment="1" applyProtection="1">
      <alignment horizontal="center"/>
      <protection locked="0"/>
    </xf>
    <xf numFmtId="178" fontId="8" fillId="0" borderId="55" xfId="0" applyNumberFormat="1" applyFont="1" applyFill="1" applyBorder="1" applyAlignment="1" applyProtection="1">
      <alignment horizontal="center"/>
      <protection locked="0"/>
    </xf>
    <xf numFmtId="2" fontId="9" fillId="0" borderId="55" xfId="0" applyNumberFormat="1" applyFont="1" applyFill="1" applyBorder="1" applyAlignment="1" applyProtection="1">
      <alignment horizontal="center"/>
      <protection locked="0"/>
    </xf>
    <xf numFmtId="184" fontId="9" fillId="0" borderId="55" xfId="0" applyNumberFormat="1" applyFont="1" applyFill="1" applyBorder="1" applyAlignment="1" applyProtection="1">
      <alignment horizontal="center"/>
      <protection locked="0"/>
    </xf>
    <xf numFmtId="1" fontId="8" fillId="0" borderId="56" xfId="0" applyNumberFormat="1" applyFont="1" applyFill="1" applyBorder="1" applyAlignment="1" applyProtection="1">
      <alignment horizontal="center"/>
      <protection locked="0"/>
    </xf>
    <xf numFmtId="177" fontId="9" fillId="0" borderId="57" xfId="0" applyNumberFormat="1" applyFont="1" applyFill="1" applyBorder="1" applyAlignment="1" applyProtection="1">
      <alignment horizontal="center"/>
      <protection locked="0"/>
    </xf>
    <xf numFmtId="183" fontId="1" fillId="0" borderId="58" xfId="0" applyNumberFormat="1" applyFont="1" applyFill="1" applyBorder="1" applyAlignment="1">
      <alignment horizontal="center"/>
    </xf>
    <xf numFmtId="186" fontId="1" fillId="0" borderId="57" xfId="0" applyNumberFormat="1" applyFont="1" applyFill="1" applyBorder="1" applyAlignment="1">
      <alignment horizontal="center"/>
    </xf>
    <xf numFmtId="186" fontId="10" fillId="2" borderId="0" xfId="0" applyNumberFormat="1" applyFont="1" applyFill="1" applyAlignment="1">
      <alignment horizontal="center"/>
    </xf>
    <xf numFmtId="177" fontId="8" fillId="7" borderId="1" xfId="0" applyNumberFormat="1" applyFont="1" applyFill="1" applyBorder="1" applyAlignment="1" applyProtection="1">
      <alignment horizontal="right" vertical="center"/>
      <protection locked="0"/>
    </xf>
    <xf numFmtId="0" fontId="0" fillId="7" borderId="2" xfId="0" applyFill="1" applyBorder="1" applyAlignment="1">
      <alignment/>
    </xf>
    <xf numFmtId="0" fontId="0" fillId="7" borderId="38" xfId="0" applyFill="1" applyBorder="1" applyAlignment="1">
      <alignment/>
    </xf>
    <xf numFmtId="1" fontId="8" fillId="7" borderId="7" xfId="0" applyNumberFormat="1" applyFont="1" applyFill="1" applyBorder="1" applyAlignment="1" applyProtection="1">
      <alignment horizontal="right" vertical="center"/>
      <protection locked="0"/>
    </xf>
    <xf numFmtId="0" fontId="0" fillId="7" borderId="8" xfId="0" applyFill="1" applyBorder="1" applyAlignment="1">
      <alignment/>
    </xf>
    <xf numFmtId="0" fontId="0" fillId="7" borderId="40" xfId="0" applyFill="1" applyBorder="1" applyAlignment="1">
      <alignment/>
    </xf>
    <xf numFmtId="177" fontId="8" fillId="7" borderId="24" xfId="0" applyNumberFormat="1" applyFont="1" applyFill="1" applyBorder="1" applyAlignment="1" applyProtection="1">
      <alignment horizontal="right" vertical="center"/>
      <protection locked="0"/>
    </xf>
    <xf numFmtId="0" fontId="0" fillId="7" borderId="25" xfId="0" applyFill="1" applyBorder="1" applyAlignment="1">
      <alignment/>
    </xf>
    <xf numFmtId="0" fontId="0" fillId="7" borderId="59" xfId="0" applyFill="1" applyBorder="1" applyAlignment="1">
      <alignment/>
    </xf>
    <xf numFmtId="1" fontId="8" fillId="7" borderId="4" xfId="0" applyNumberFormat="1" applyFont="1" applyFill="1" applyBorder="1" applyAlignment="1" applyProtection="1">
      <alignment horizontal="right" vertical="center"/>
      <protection locked="0"/>
    </xf>
    <xf numFmtId="0" fontId="0" fillId="7" borderId="5" xfId="0" applyFill="1" applyBorder="1" applyAlignment="1">
      <alignment/>
    </xf>
    <xf numFmtId="0" fontId="0" fillId="7" borderId="39" xfId="0" applyFill="1" applyBorder="1" applyAlignment="1">
      <alignment/>
    </xf>
    <xf numFmtId="183" fontId="8" fillId="7" borderId="4" xfId="0" applyNumberFormat="1" applyFont="1" applyFill="1" applyBorder="1" applyAlignment="1" applyProtection="1">
      <alignment horizontal="right" vertical="center"/>
      <protection locked="0"/>
    </xf>
    <xf numFmtId="178" fontId="8" fillId="7" borderId="4" xfId="0" applyNumberFormat="1" applyFont="1" applyFill="1" applyBorder="1" applyAlignment="1" applyProtection="1">
      <alignment horizontal="right" vertical="center"/>
      <protection locked="0"/>
    </xf>
    <xf numFmtId="2" fontId="8" fillId="7" borderId="4" xfId="0" applyNumberFormat="1" applyFont="1" applyFill="1" applyBorder="1" applyAlignment="1" applyProtection="1">
      <alignment horizontal="right" vertical="center"/>
      <protection locked="0"/>
    </xf>
    <xf numFmtId="184" fontId="8" fillId="7" borderId="4" xfId="0" applyNumberFormat="1" applyFont="1" applyFill="1" applyBorder="1" applyAlignment="1" applyProtection="1">
      <alignment horizontal="right" vertical="center"/>
      <protection locked="0"/>
    </xf>
    <xf numFmtId="183" fontId="1" fillId="7" borderId="7" xfId="0" applyNumberFormat="1" applyFont="1" applyFill="1" applyBorder="1" applyAlignment="1">
      <alignment horizontal="right" vertical="center"/>
    </xf>
    <xf numFmtId="186" fontId="1" fillId="7" borderId="24" xfId="0" applyNumberFormat="1" applyFont="1" applyFill="1" applyBorder="1" applyAlignment="1">
      <alignment horizontal="right" vertical="center"/>
    </xf>
    <xf numFmtId="0" fontId="1" fillId="7" borderId="7" xfId="0" applyFont="1" applyFill="1" applyBorder="1" applyAlignment="1">
      <alignment horizontal="right" vertical="center"/>
    </xf>
    <xf numFmtId="0" fontId="16" fillId="7" borderId="8" xfId="0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17" fillId="7" borderId="8" xfId="0" applyFont="1" applyFill="1" applyBorder="1" applyAlignment="1" quotePrefix="1">
      <alignment/>
    </xf>
    <xf numFmtId="0" fontId="17" fillId="7" borderId="25" xfId="0" applyFont="1" applyFill="1" applyBorder="1" applyAlignment="1">
      <alignment vertical="center"/>
    </xf>
    <xf numFmtId="0" fontId="17" fillId="7" borderId="5" xfId="0" applyFont="1" applyFill="1" applyBorder="1" applyAlignment="1">
      <alignment vertical="center"/>
    </xf>
    <xf numFmtId="0" fontId="17" fillId="7" borderId="8" xfId="0" applyFont="1" applyFill="1" applyBorder="1" applyAlignment="1">
      <alignment vertical="center"/>
    </xf>
    <xf numFmtId="183" fontId="8" fillId="0" borderId="19" xfId="0" applyNumberFormat="1" applyFont="1" applyBorder="1" applyAlignment="1" applyProtection="1">
      <alignment horizontal="center"/>
      <protection locked="0"/>
    </xf>
    <xf numFmtId="183" fontId="8" fillId="0" borderId="21" xfId="0" applyNumberFormat="1" applyFont="1" applyBorder="1" applyAlignment="1" applyProtection="1">
      <alignment horizontal="center"/>
      <protection locked="0"/>
    </xf>
    <xf numFmtId="183" fontId="8" fillId="3" borderId="21" xfId="0" applyNumberFormat="1" applyFont="1" applyFill="1" applyBorder="1" applyAlignment="1" applyProtection="1">
      <alignment horizontal="center"/>
      <protection locked="0"/>
    </xf>
    <xf numFmtId="0" fontId="1" fillId="4" borderId="60" xfId="0" applyFont="1" applyFill="1" applyBorder="1" applyAlignment="1">
      <alignment horizontal="left" vertical="center" wrapText="1" indent="1"/>
    </xf>
    <xf numFmtId="0" fontId="10" fillId="4" borderId="61" xfId="0" applyFont="1" applyFill="1" applyBorder="1" applyAlignment="1">
      <alignment horizontal="left" vertical="center" wrapText="1" indent="1"/>
    </xf>
    <xf numFmtId="0" fontId="10" fillId="4" borderId="48" xfId="0" applyFont="1" applyFill="1" applyBorder="1" applyAlignment="1">
      <alignment horizontal="left" vertical="center" wrapText="1" indent="1"/>
    </xf>
    <xf numFmtId="0" fontId="1" fillId="4" borderId="62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wrapText="1" indent="1"/>
    </xf>
    <xf numFmtId="0" fontId="10" fillId="4" borderId="63" xfId="0" applyFont="1" applyFill="1" applyBorder="1" applyAlignment="1">
      <alignment horizontal="left" vertical="center" wrapText="1" indent="1"/>
    </xf>
    <xf numFmtId="0" fontId="10" fillId="4" borderId="62" xfId="0" applyFont="1" applyFill="1" applyBorder="1" applyAlignment="1">
      <alignment horizontal="left" vertical="center" wrapText="1" indent="1"/>
    </xf>
    <xf numFmtId="0" fontId="10" fillId="4" borderId="64" xfId="0" applyFont="1" applyFill="1" applyBorder="1" applyAlignment="1">
      <alignment horizontal="left" vertical="center" wrapText="1" indent="1"/>
    </xf>
    <xf numFmtId="0" fontId="10" fillId="4" borderId="25" xfId="0" applyFont="1" applyFill="1" applyBorder="1" applyAlignment="1">
      <alignment horizontal="left" vertical="center" wrapText="1" indent="1"/>
    </xf>
    <xf numFmtId="0" fontId="10" fillId="4" borderId="26" xfId="0" applyFont="1" applyFill="1" applyBorder="1" applyAlignment="1">
      <alignment horizontal="left" vertical="center" wrapText="1" indent="1"/>
    </xf>
    <xf numFmtId="0" fontId="10" fillId="6" borderId="65" xfId="0" applyFont="1" applyFill="1" applyBorder="1" applyAlignment="1">
      <alignment/>
    </xf>
    <xf numFmtId="0" fontId="10" fillId="6" borderId="20" xfId="0" applyFont="1" applyFill="1" applyBorder="1" applyAlignment="1">
      <alignment/>
    </xf>
    <xf numFmtId="0" fontId="10" fillId="6" borderId="45" xfId="0" applyFont="1" applyFill="1" applyBorder="1" applyAlignment="1">
      <alignment/>
    </xf>
    <xf numFmtId="0" fontId="10" fillId="6" borderId="22" xfId="0" applyFont="1" applyFill="1" applyBorder="1" applyAlignment="1">
      <alignment/>
    </xf>
    <xf numFmtId="0" fontId="10" fillId="6" borderId="46" xfId="0" applyFont="1" applyFill="1" applyBorder="1" applyAlignment="1">
      <alignment/>
    </xf>
    <xf numFmtId="0" fontId="10" fillId="6" borderId="32" xfId="0" applyFont="1" applyFill="1" applyBorder="1" applyAlignment="1">
      <alignment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2" borderId="57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2" borderId="66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7" xfId="0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83" fontId="9" fillId="0" borderId="21" xfId="0" applyNumberFormat="1" applyFont="1" applyFill="1" applyBorder="1" applyAlignment="1" applyProtection="1">
      <alignment horizontal="center"/>
      <protection locked="0"/>
    </xf>
    <xf numFmtId="1" fontId="8" fillId="3" borderId="6" xfId="0" applyNumberFormat="1" applyFont="1" applyFill="1" applyBorder="1" applyAlignment="1" applyProtection="1">
      <alignment horizontal="center"/>
      <protection locked="0"/>
    </xf>
    <xf numFmtId="1" fontId="8" fillId="0" borderId="9" xfId="0" applyNumberFormat="1" applyFont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177" fontId="9" fillId="0" borderId="33" xfId="0" applyNumberFormat="1" applyFont="1" applyFill="1" applyBorder="1" applyAlignment="1" applyProtection="1">
      <alignment horizontal="center"/>
      <protection locked="0"/>
    </xf>
    <xf numFmtId="177" fontId="9" fillId="0" borderId="0" xfId="0" applyNumberFormat="1" applyFont="1" applyFill="1" applyBorder="1" applyAlignment="1" applyProtection="1">
      <alignment horizontal="center"/>
      <protection locked="0"/>
    </xf>
    <xf numFmtId="183" fontId="11" fillId="4" borderId="17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Alignment="1">
      <alignment horizontal="center"/>
    </xf>
    <xf numFmtId="183" fontId="8" fillId="0" borderId="3" xfId="0" applyNumberFormat="1" applyFont="1" applyBorder="1" applyAlignment="1" applyProtection="1">
      <alignment horizontal="center"/>
      <protection locked="0"/>
    </xf>
    <xf numFmtId="183" fontId="8" fillId="0" borderId="26" xfId="0" applyNumberFormat="1" applyFont="1" applyBorder="1" applyAlignment="1" applyProtection="1">
      <alignment horizontal="center"/>
      <protection locked="0"/>
    </xf>
    <xf numFmtId="183" fontId="4" fillId="0" borderId="6" xfId="0" applyNumberFormat="1" applyFont="1" applyBorder="1" applyAlignment="1">
      <alignment horizontal="center"/>
    </xf>
    <xf numFmtId="183" fontId="8" fillId="0" borderId="9" xfId="0" applyNumberFormat="1" applyFont="1" applyBorder="1" applyAlignment="1" applyProtection="1">
      <alignment horizontal="center"/>
      <protection locked="0"/>
    </xf>
    <xf numFmtId="183" fontId="4" fillId="0" borderId="0" xfId="0" applyNumberFormat="1" applyFont="1" applyAlignment="1">
      <alignment horizontal="center"/>
    </xf>
    <xf numFmtId="183" fontId="4" fillId="0" borderId="3" xfId="0" applyNumberFormat="1" applyFont="1" applyBorder="1" applyAlignment="1">
      <alignment horizontal="center"/>
    </xf>
    <xf numFmtId="183" fontId="4" fillId="0" borderId="9" xfId="0" applyNumberFormat="1" applyFont="1" applyBorder="1" applyAlignment="1">
      <alignment horizontal="center"/>
    </xf>
    <xf numFmtId="183" fontId="9" fillId="0" borderId="15" xfId="0" applyNumberFormat="1" applyFont="1" applyBorder="1" applyAlignment="1" applyProtection="1">
      <alignment horizontal="center"/>
      <protection locked="0"/>
    </xf>
    <xf numFmtId="183" fontId="8" fillId="0" borderId="23" xfId="0" applyNumberFormat="1" applyFont="1" applyBorder="1" applyAlignment="1" applyProtection="1">
      <alignment horizontal="center"/>
      <protection locked="0"/>
    </xf>
    <xf numFmtId="183" fontId="8" fillId="0" borderId="33" xfId="0" applyNumberFormat="1" applyFont="1" applyFill="1" applyBorder="1" applyAlignment="1" applyProtection="1">
      <alignment horizontal="center"/>
      <protection locked="0"/>
    </xf>
    <xf numFmtId="183" fontId="8" fillId="0" borderId="0" xfId="0" applyNumberFormat="1" applyFont="1" applyFill="1" applyBorder="1" applyAlignment="1" applyProtection="1">
      <alignment horizontal="center"/>
      <protection locked="0"/>
    </xf>
    <xf numFmtId="184" fontId="5" fillId="0" borderId="0" xfId="0" applyNumberFormat="1" applyFont="1" applyAlignment="1">
      <alignment/>
    </xf>
    <xf numFmtId="184" fontId="5" fillId="0" borderId="0" xfId="0" applyNumberFormat="1" applyFont="1" applyFill="1" applyAlignment="1" applyProtection="1">
      <alignment/>
      <protection locked="0"/>
    </xf>
    <xf numFmtId="184" fontId="12" fillId="0" borderId="34" xfId="0" applyNumberFormat="1" applyFont="1" applyFill="1" applyBorder="1" applyAlignment="1" applyProtection="1">
      <alignment horizontal="center"/>
      <protection locked="0"/>
    </xf>
    <xf numFmtId="184" fontId="6" fillId="0" borderId="0" xfId="0" applyNumberFormat="1" applyFont="1" applyAlignment="1" applyProtection="1">
      <alignment/>
      <protection locked="0"/>
    </xf>
    <xf numFmtId="184" fontId="9" fillId="0" borderId="34" xfId="0" applyNumberFormat="1" applyFont="1" applyFill="1" applyBorder="1" applyAlignment="1" applyProtection="1">
      <alignment horizontal="center"/>
      <protection locked="0"/>
    </xf>
    <xf numFmtId="184" fontId="1" fillId="2" borderId="31" xfId="0" applyNumberFormat="1" applyFont="1" applyFill="1" applyBorder="1" applyAlignment="1">
      <alignment horizontal="center"/>
    </xf>
    <xf numFmtId="184" fontId="4" fillId="3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B6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5.125" style="0" customWidth="1"/>
    <col min="2" max="2" width="6.75390625" style="3" customWidth="1"/>
    <col min="3" max="3" width="5.25390625" style="3" customWidth="1"/>
    <col min="4" max="4" width="5.75390625" style="3" customWidth="1"/>
    <col min="5" max="5" width="7.125" style="267" customWidth="1"/>
    <col min="6" max="6" width="6.375" style="0" customWidth="1"/>
    <col min="7" max="7" width="7.50390625" style="0" customWidth="1"/>
    <col min="8" max="8" width="8.375" style="0" customWidth="1"/>
    <col min="9" max="9" width="8.25390625" style="3" customWidth="1"/>
    <col min="10" max="10" width="8.50390625" style="0" customWidth="1"/>
    <col min="11" max="11" width="7.375" style="3" customWidth="1"/>
    <col min="12" max="12" width="7.125" style="3" customWidth="1"/>
    <col min="13" max="13" width="6.75390625" style="55" customWidth="1"/>
    <col min="14" max="14" width="3.125" style="0" customWidth="1"/>
    <col min="15" max="20" width="6.625" style="0" customWidth="1"/>
    <col min="21" max="81" width="5.625" style="0" customWidth="1"/>
    <col min="82" max="16384" width="9.00390625" style="0" customWidth="1"/>
  </cols>
  <sheetData>
    <row r="2" spans="4:28" ht="13.5" thickBot="1">
      <c r="D2" s="249"/>
      <c r="J2" s="2"/>
      <c r="O2" s="2"/>
      <c r="P2" s="2"/>
      <c r="Q2" s="2"/>
      <c r="R2" s="2"/>
      <c r="S2" s="2"/>
      <c r="T2" s="2"/>
      <c r="U2" s="1"/>
      <c r="V2" s="1"/>
      <c r="W2" s="1"/>
      <c r="X2" s="1"/>
      <c r="Y2" s="1"/>
      <c r="Z2" s="1"/>
      <c r="AA2" s="4"/>
      <c r="AB2" s="4"/>
    </row>
    <row r="3" spans="1:28" ht="12.75">
      <c r="A3" s="5"/>
      <c r="C3" s="6" t="s">
        <v>0</v>
      </c>
      <c r="D3" s="250"/>
      <c r="E3" s="268"/>
      <c r="F3" s="89">
        <v>270</v>
      </c>
      <c r="J3" s="225" t="s">
        <v>16</v>
      </c>
      <c r="K3" s="226"/>
      <c r="L3" s="227"/>
      <c r="Q3" s="2"/>
      <c r="R3" s="2"/>
      <c r="S3" s="2"/>
      <c r="T3" s="2"/>
      <c r="U3" s="1"/>
      <c r="V3" s="1"/>
      <c r="W3" s="1"/>
      <c r="X3" s="1"/>
      <c r="Y3" s="1"/>
      <c r="Z3" s="1"/>
      <c r="AB3" s="4"/>
    </row>
    <row r="4" spans="1:28" ht="12.75">
      <c r="A4" s="5"/>
      <c r="C4" s="50" t="s">
        <v>14</v>
      </c>
      <c r="D4" s="251"/>
      <c r="E4" s="269"/>
      <c r="F4" s="90">
        <f>0.3048*F3</f>
        <v>82.296</v>
      </c>
      <c r="H4" s="53" t="s">
        <v>52</v>
      </c>
      <c r="J4" s="228"/>
      <c r="K4" s="229"/>
      <c r="L4" s="230"/>
      <c r="Q4" s="2"/>
      <c r="R4" s="2"/>
      <c r="S4" s="2"/>
      <c r="T4" s="2"/>
      <c r="U4" s="1"/>
      <c r="V4" s="1"/>
      <c r="W4" s="1"/>
      <c r="X4" s="1"/>
      <c r="Y4" s="1"/>
      <c r="Z4" s="1"/>
      <c r="AB4" s="4"/>
    </row>
    <row r="5" spans="1:28" ht="12.75">
      <c r="A5" s="5"/>
      <c r="C5" s="262" t="s">
        <v>1</v>
      </c>
      <c r="D5" s="252"/>
      <c r="E5" s="270"/>
      <c r="F5" s="91">
        <v>2.493</v>
      </c>
      <c r="H5" s="54">
        <f>2*F3*COS(F5*PI()/180)*F3*SIN(F5*PI()/180)/32.185*0.3048</f>
        <v>60.00263735480233</v>
      </c>
      <c r="J5" s="231"/>
      <c r="K5" s="229"/>
      <c r="L5" s="230"/>
      <c r="Q5" s="2"/>
      <c r="R5" s="2"/>
      <c r="S5" s="2"/>
      <c r="T5" s="2"/>
      <c r="U5" s="1"/>
      <c r="V5" s="1"/>
      <c r="W5" s="1"/>
      <c r="X5" s="1"/>
      <c r="Y5" s="1"/>
      <c r="Z5" s="1"/>
      <c r="AB5" s="4"/>
    </row>
    <row r="6" spans="1:28" ht="13.5" thickBot="1">
      <c r="A6" s="5"/>
      <c r="C6" s="14" t="s">
        <v>2</v>
      </c>
      <c r="D6" s="253"/>
      <c r="E6" s="271"/>
      <c r="F6" s="80">
        <v>-30</v>
      </c>
      <c r="H6" s="176"/>
      <c r="J6" s="231"/>
      <c r="K6" s="229"/>
      <c r="L6" s="230"/>
      <c r="Q6" s="2"/>
      <c r="R6" s="2"/>
      <c r="S6" s="2"/>
      <c r="T6" s="2"/>
      <c r="U6" s="1"/>
      <c r="V6" s="1"/>
      <c r="W6" s="1"/>
      <c r="X6" s="1"/>
      <c r="Y6" s="1"/>
      <c r="Z6" s="1"/>
      <c r="AB6" s="4"/>
    </row>
    <row r="7" spans="3:28" ht="13.5" thickBot="1">
      <c r="C7" s="263"/>
      <c r="D7" s="254"/>
      <c r="E7" s="272"/>
      <c r="F7" s="10"/>
      <c r="H7" s="48"/>
      <c r="J7" s="231"/>
      <c r="K7" s="229"/>
      <c r="L7" s="230"/>
      <c r="Q7" s="2"/>
      <c r="R7" s="2"/>
      <c r="S7" s="2"/>
      <c r="T7" s="2"/>
      <c r="U7" s="1"/>
      <c r="V7" s="1"/>
      <c r="W7" s="1"/>
      <c r="X7" s="1"/>
      <c r="Y7" s="1"/>
      <c r="Z7" s="1"/>
      <c r="AB7" s="4"/>
    </row>
    <row r="8" spans="3:28" ht="12.75">
      <c r="C8" s="6" t="s">
        <v>3</v>
      </c>
      <c r="D8" s="250"/>
      <c r="E8" s="273"/>
      <c r="F8" s="19">
        <f>F5+F6</f>
        <v>-27.507</v>
      </c>
      <c r="H8" s="53" t="s">
        <v>46</v>
      </c>
      <c r="J8" s="231"/>
      <c r="K8" s="229"/>
      <c r="L8" s="230"/>
      <c r="Q8" s="2"/>
      <c r="R8" s="2"/>
      <c r="S8" s="2"/>
      <c r="T8" s="2"/>
      <c r="U8" s="1"/>
      <c r="V8" s="1"/>
      <c r="W8" s="1"/>
      <c r="X8" s="1"/>
      <c r="Y8" s="1"/>
      <c r="Z8" s="1"/>
      <c r="AB8" s="4"/>
    </row>
    <row r="9" spans="1:28" ht="12.75">
      <c r="A9" s="5"/>
      <c r="C9" s="20" t="s">
        <v>4</v>
      </c>
      <c r="D9" s="255"/>
      <c r="E9" s="270"/>
      <c r="F9" s="22">
        <f>F3*COS(F8*3.14159/180)</f>
        <v>239.47774216523584</v>
      </c>
      <c r="H9" s="54">
        <f>H5/COS(F6/180*PI())</f>
        <v>69.28507765776524</v>
      </c>
      <c r="J9" s="231"/>
      <c r="K9" s="229"/>
      <c r="L9" s="230"/>
      <c r="Q9" s="2"/>
      <c r="R9" s="2"/>
      <c r="S9" s="2"/>
      <c r="T9" s="2"/>
      <c r="U9" s="1"/>
      <c r="V9" s="1"/>
      <c r="W9" s="1"/>
      <c r="X9" s="1"/>
      <c r="Y9" s="1"/>
      <c r="Z9" s="1"/>
      <c r="AB9" s="4"/>
    </row>
    <row r="10" spans="1:28" ht="13.5" thickBot="1">
      <c r="A10" s="5"/>
      <c r="C10" s="14" t="s">
        <v>5</v>
      </c>
      <c r="D10" s="253"/>
      <c r="E10" s="274"/>
      <c r="F10" s="17">
        <f>F3*SIN(F8*3.14159/180)</f>
        <v>-124.70128711220596</v>
      </c>
      <c r="H10" s="49"/>
      <c r="J10" s="231"/>
      <c r="K10" s="229"/>
      <c r="L10" s="230"/>
      <c r="Q10" s="2"/>
      <c r="R10" s="2"/>
      <c r="S10" s="2"/>
      <c r="T10" s="2"/>
      <c r="U10" s="1"/>
      <c r="V10" s="1"/>
      <c r="W10" s="1"/>
      <c r="X10" s="1"/>
      <c r="Y10" s="1"/>
      <c r="Z10" s="1"/>
      <c r="AB10" s="4"/>
    </row>
    <row r="11" spans="1:28" ht="13.5" thickBot="1">
      <c r="A11" s="5"/>
      <c r="C11" s="263"/>
      <c r="D11" s="254"/>
      <c r="E11" s="272"/>
      <c r="F11" s="10"/>
      <c r="H11" s="49"/>
      <c r="J11" s="231"/>
      <c r="K11" s="229"/>
      <c r="L11" s="230"/>
      <c r="Q11" s="2"/>
      <c r="R11" s="2"/>
      <c r="S11" s="2"/>
      <c r="T11" s="2"/>
      <c r="U11" s="1"/>
      <c r="V11" s="1"/>
      <c r="W11" s="1"/>
      <c r="X11" s="1"/>
      <c r="Y11" s="1"/>
      <c r="Z11" s="1"/>
      <c r="AB11" s="4"/>
    </row>
    <row r="12" spans="1:28" ht="13.5" thickBot="1">
      <c r="A12" s="5"/>
      <c r="C12" s="25" t="s">
        <v>6</v>
      </c>
      <c r="D12" s="256"/>
      <c r="E12" s="275"/>
      <c r="F12" s="28">
        <v>2</v>
      </c>
      <c r="H12" s="49"/>
      <c r="J12" s="232"/>
      <c r="K12" s="233"/>
      <c r="L12" s="234"/>
      <c r="Q12" s="2"/>
      <c r="R12" s="2"/>
      <c r="S12" s="2"/>
      <c r="T12" s="2"/>
      <c r="U12" s="1"/>
      <c r="V12" s="1"/>
      <c r="W12" s="1"/>
      <c r="X12" s="1"/>
      <c r="Y12" s="1"/>
      <c r="Z12" s="1"/>
      <c r="AB12" s="4"/>
    </row>
    <row r="13" spans="1:28" ht="12.75">
      <c r="A13" s="5"/>
      <c r="B13" s="254"/>
      <c r="C13" s="254"/>
      <c r="D13" s="254"/>
      <c r="E13" s="272"/>
      <c r="F13" s="10"/>
      <c r="G13" s="10"/>
      <c r="H13" s="9"/>
      <c r="I13" s="248"/>
      <c r="J13" s="9"/>
      <c r="K13" s="29"/>
      <c r="L13" s="30"/>
      <c r="M13" s="56"/>
      <c r="N13" s="23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B13" s="4"/>
    </row>
    <row r="14" spans="1:28" ht="13.5" thickBot="1">
      <c r="A14" s="5"/>
      <c r="B14" s="254"/>
      <c r="C14" s="254"/>
      <c r="D14" s="254"/>
      <c r="E14" s="272"/>
      <c r="F14" s="10"/>
      <c r="G14" s="10"/>
      <c r="H14" s="9"/>
      <c r="I14" s="248"/>
      <c r="J14" s="9"/>
      <c r="K14" s="29"/>
      <c r="L14" s="30"/>
      <c r="M14" s="56"/>
      <c r="N14" s="23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B14" s="4"/>
    </row>
    <row r="15" spans="1:28" ht="24" thickBot="1">
      <c r="A15" s="4"/>
      <c r="B15" s="57" t="s">
        <v>7</v>
      </c>
      <c r="C15" s="31" t="s">
        <v>47</v>
      </c>
      <c r="D15" s="32" t="s">
        <v>49</v>
      </c>
      <c r="E15" s="266" t="s">
        <v>8</v>
      </c>
      <c r="F15" s="32" t="s">
        <v>9</v>
      </c>
      <c r="G15" s="32" t="s">
        <v>93</v>
      </c>
      <c r="H15" s="32" t="s">
        <v>11</v>
      </c>
      <c r="I15" s="32" t="s">
        <v>12</v>
      </c>
      <c r="J15" s="32" t="s">
        <v>13</v>
      </c>
      <c r="K15" s="32" t="s">
        <v>92</v>
      </c>
      <c r="L15" s="33" t="s">
        <v>51</v>
      </c>
      <c r="M15" s="60" t="s">
        <v>15</v>
      </c>
      <c r="N15" s="8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B15" s="4"/>
    </row>
    <row r="16" spans="1:28" ht="12.75">
      <c r="A16" s="4"/>
      <c r="B16" s="167">
        <f>C16/COS($F$6/180*PI())</f>
        <v>0</v>
      </c>
      <c r="C16" s="168">
        <v>0</v>
      </c>
      <c r="D16" s="34">
        <f aca="true" t="shared" si="0" ref="D16:D47">C16/0.9144</f>
        <v>0</v>
      </c>
      <c r="E16" s="222">
        <f>$F$3</f>
        <v>270</v>
      </c>
      <c r="F16" s="34">
        <f>F9</f>
        <v>239.47774216523584</v>
      </c>
      <c r="G16" s="34">
        <f>$F$10</f>
        <v>-124.70128711220596</v>
      </c>
      <c r="H16" s="35">
        <f>ATAN(G16/F16)*(180/3.14159)</f>
        <v>-27.506999999999998</v>
      </c>
      <c r="I16" s="34">
        <f aca="true" t="shared" si="1" ref="I16:I61">1/TAN(H16/180*PI())</f>
        <v>-1.9204092487706117</v>
      </c>
      <c r="J16" s="36">
        <f>0</f>
        <v>0</v>
      </c>
      <c r="K16" s="34">
        <v>0</v>
      </c>
      <c r="L16" s="37">
        <f aca="true" t="shared" si="2" ref="L16:L61">K16*2.54</f>
        <v>0</v>
      </c>
      <c r="M16" s="58"/>
      <c r="N16" s="8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B16" s="4"/>
    </row>
    <row r="17" spans="1:28" ht="12.75">
      <c r="A17" s="4"/>
      <c r="B17" s="169">
        <f aca="true" t="shared" si="3" ref="B17:B61">C17/COS($F$6/180*PI())</f>
        <v>2.309401076758503</v>
      </c>
      <c r="C17" s="170">
        <f>C16+$F$12</f>
        <v>2</v>
      </c>
      <c r="D17" s="38">
        <f>C17/0.9144027</f>
        <v>2.1872201383482355</v>
      </c>
      <c r="E17" s="223">
        <f>SQRT(F17^2+G17^2)</f>
        <v>270.4084264375407</v>
      </c>
      <c r="F17" s="38">
        <f>F16</f>
        <v>239.47774216523584</v>
      </c>
      <c r="G17" s="38">
        <f>$F$10-32.185*J17</f>
        <v>-125.5831521179003</v>
      </c>
      <c r="H17" s="39">
        <f>ATAN(G17/F17)*(180/PI())</f>
        <v>-27.672708821446324</v>
      </c>
      <c r="I17" s="38">
        <f t="shared" si="1"/>
        <v>-1.9069257151660657</v>
      </c>
      <c r="J17" s="40">
        <f>D17*3/$F$9</f>
        <v>0.027399875895427746</v>
      </c>
      <c r="K17" s="38">
        <f>12*($F$10*J17-0.5*32.185*J17^2)-TAN($F$6*PI()/180)*D17*36</f>
        <v>4.313941442713833</v>
      </c>
      <c r="L17" s="41">
        <f>K17*2.54</f>
        <v>10.957411264493137</v>
      </c>
      <c r="M17" s="58"/>
      <c r="N17" s="8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169">
        <f t="shared" si="3"/>
        <v>4.618802153517006</v>
      </c>
      <c r="C18" s="170">
        <f aca="true" t="shared" si="4" ref="C18:C61">C17+$F$12</f>
        <v>4</v>
      </c>
      <c r="D18" s="38">
        <f t="shared" si="0"/>
        <v>4.374453193350831</v>
      </c>
      <c r="E18" s="223">
        <f>SQRT(F18^2+G18^2)</f>
        <v>270.81911096866037</v>
      </c>
      <c r="F18" s="38">
        <f aca="true" t="shared" si="5" ref="F18:F61">F17</f>
        <v>239.47774216523584</v>
      </c>
      <c r="G18" s="38">
        <f aca="true" t="shared" si="6" ref="G18:G61">$F$10-32.185*J18</f>
        <v>-126.46502233145885</v>
      </c>
      <c r="H18" s="39">
        <f aca="true" t="shared" si="7" ref="H18:H61">ATAN(G18/F18)*(180/PI())</f>
        <v>-27.83794058348004</v>
      </c>
      <c r="I18" s="38">
        <f t="shared" si="1"/>
        <v>-1.8936282756316292</v>
      </c>
      <c r="J18" s="40">
        <f aca="true" t="shared" si="8" ref="J18:J61">D18*3/$F$9</f>
        <v>0.054799913601146215</v>
      </c>
      <c r="K18" s="38">
        <f aca="true" t="shared" si="9" ref="K18:K61">12*($F$10*J18-0.5*32.185*J18^2)-TAN($F$6*PI()/180)*D18*36</f>
        <v>8.33794989239719</v>
      </c>
      <c r="L18" s="41">
        <f t="shared" si="2"/>
        <v>21.178392726688866</v>
      </c>
      <c r="M18" s="58"/>
      <c r="N18" s="88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"/>
      <c r="AB18" s="4"/>
    </row>
    <row r="19" spans="1:28" ht="12.75">
      <c r="A19" s="4"/>
      <c r="B19" s="169">
        <f t="shared" si="3"/>
        <v>6.928203230275509</v>
      </c>
      <c r="C19" s="170">
        <f t="shared" si="4"/>
        <v>6</v>
      </c>
      <c r="D19" s="38">
        <f t="shared" si="0"/>
        <v>6.561679790026247</v>
      </c>
      <c r="E19" s="223">
        <f>SQRT(F19^2+G19^2)</f>
        <v>271.23203971917854</v>
      </c>
      <c r="F19" s="38">
        <f t="shared" si="5"/>
        <v>239.47774216523584</v>
      </c>
      <c r="G19" s="38">
        <f t="shared" si="6"/>
        <v>-127.3468899410853</v>
      </c>
      <c r="H19" s="39">
        <f t="shared" si="7"/>
        <v>-28.002670121003934</v>
      </c>
      <c r="I19" s="38">
        <f t="shared" si="1"/>
        <v>-1.8805150426211885</v>
      </c>
      <c r="J19" s="40">
        <f t="shared" si="8"/>
        <v>0.08219987040171932</v>
      </c>
      <c r="K19" s="38">
        <f t="shared" si="9"/>
        <v>12.071988419259213</v>
      </c>
      <c r="L19" s="41">
        <f t="shared" si="2"/>
        <v>30.662850584918402</v>
      </c>
      <c r="M19" s="58"/>
      <c r="N19" s="88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"/>
      <c r="AB19" s="4"/>
    </row>
    <row r="20" spans="1:28" ht="12.75">
      <c r="A20" s="4"/>
      <c r="B20" s="169">
        <f t="shared" si="3"/>
        <v>9.237604307034012</v>
      </c>
      <c r="C20" s="170">
        <f t="shared" si="4"/>
        <v>8</v>
      </c>
      <c r="D20" s="38">
        <f t="shared" si="0"/>
        <v>8.748906386701663</v>
      </c>
      <c r="E20" s="223">
        <f>SQRT(F20^2+G20^2)</f>
        <v>271.6472036586395</v>
      </c>
      <c r="F20" s="38">
        <f t="shared" si="5"/>
        <v>239.47774216523584</v>
      </c>
      <c r="G20" s="38">
        <f t="shared" si="6"/>
        <v>-128.22875755071175</v>
      </c>
      <c r="H20" s="39">
        <f t="shared" si="7"/>
        <v>-28.166897493594202</v>
      </c>
      <c r="I20" s="38">
        <f t="shared" si="1"/>
        <v>-1.8675821768804672</v>
      </c>
      <c r="J20" s="40">
        <f t="shared" si="8"/>
        <v>0.10959982720229243</v>
      </c>
      <c r="K20" s="38">
        <f t="shared" si="9"/>
        <v>15.51606933323012</v>
      </c>
      <c r="L20" s="41">
        <f t="shared" si="2"/>
        <v>39.41081610640451</v>
      </c>
      <c r="M20" s="58"/>
      <c r="N20" s="88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"/>
      <c r="AB20" s="4"/>
    </row>
    <row r="21" spans="1:28" ht="12.75">
      <c r="A21" s="4"/>
      <c r="B21" s="169">
        <f t="shared" si="3"/>
        <v>11.547005383792515</v>
      </c>
      <c r="C21" s="258">
        <f t="shared" si="4"/>
        <v>10</v>
      </c>
      <c r="D21" s="43">
        <f t="shared" si="0"/>
        <v>10.936132983377078</v>
      </c>
      <c r="E21" s="224">
        <f>SQRT(F21^2+G21^2)</f>
        <v>272.0645925545118</v>
      </c>
      <c r="F21" s="43">
        <f t="shared" si="5"/>
        <v>239.47774216523584</v>
      </c>
      <c r="G21" s="43">
        <f t="shared" si="6"/>
        <v>-129.1106251603382</v>
      </c>
      <c r="H21" s="44">
        <f t="shared" si="7"/>
        <v>-28.33062230781726</v>
      </c>
      <c r="I21" s="43">
        <f t="shared" si="1"/>
        <v>-1.854825982507918</v>
      </c>
      <c r="J21" s="45">
        <f t="shared" si="8"/>
        <v>0.13699978400286553</v>
      </c>
      <c r="K21" s="43">
        <f t="shared" si="9"/>
        <v>18.670192634310013</v>
      </c>
      <c r="L21" s="46">
        <f t="shared" si="2"/>
        <v>47.422289291147436</v>
      </c>
      <c r="M21" s="58">
        <f>0.5*ASIN(9.81*C21/$F$4^2)*180/PI()</f>
        <v>0.4149725581700464</v>
      </c>
      <c r="N21" s="125"/>
      <c r="O21">
        <f>ASIN(9.81*C21*COS($F$6/180*PI())/(2*$F$4^2*COS(($F$5+$F$6)/180*PI())))*180/PI()</f>
        <v>0.40516987064012516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2.75">
      <c r="B22" s="169">
        <f t="shared" si="3"/>
        <v>13.856406460551018</v>
      </c>
      <c r="C22" s="170">
        <f t="shared" si="4"/>
        <v>12</v>
      </c>
      <c r="D22" s="38">
        <f t="shared" si="0"/>
        <v>13.123359580052494</v>
      </c>
      <c r="E22" s="223">
        <f>SQRT(F22^2+G22^2)</f>
        <v>272.48419618228957</v>
      </c>
      <c r="F22" s="38">
        <f t="shared" si="5"/>
        <v>239.47774216523584</v>
      </c>
      <c r="G22" s="38">
        <f t="shared" si="6"/>
        <v>-129.99249276996463</v>
      </c>
      <c r="H22" s="39">
        <f t="shared" si="7"/>
        <v>-28.493844205472538</v>
      </c>
      <c r="I22" s="38">
        <f t="shared" si="1"/>
        <v>-1.8422428638938162</v>
      </c>
      <c r="J22" s="40">
        <f t="shared" si="8"/>
        <v>0.16439974080343864</v>
      </c>
      <c r="K22" s="38">
        <f t="shared" si="9"/>
        <v>21.534358322498804</v>
      </c>
      <c r="L22" s="41">
        <f t="shared" si="2"/>
        <v>54.697270139146966</v>
      </c>
      <c r="M22" s="58"/>
      <c r="N22" s="88"/>
      <c r="AA22" s="4"/>
      <c r="AB22" s="4"/>
    </row>
    <row r="23" spans="2:28" ht="12.75">
      <c r="B23" s="169">
        <f t="shared" si="3"/>
        <v>16.16580753730952</v>
      </c>
      <c r="C23" s="170">
        <f t="shared" si="4"/>
        <v>14</v>
      </c>
      <c r="D23" s="38">
        <f t="shared" si="0"/>
        <v>15.31058617672791</v>
      </c>
      <c r="E23" s="223">
        <f>SQRT(F23^2+G23^2)</f>
        <v>272.906004326263</v>
      </c>
      <c r="F23" s="38">
        <f t="shared" si="5"/>
        <v>239.47774216523584</v>
      </c>
      <c r="G23" s="38">
        <f t="shared" si="6"/>
        <v>-130.87436037959108</v>
      </c>
      <c r="H23" s="39">
        <f t="shared" si="7"/>
        <v>-28.656562863207412</v>
      </c>
      <c r="I23" s="38">
        <f t="shared" si="1"/>
        <v>-1.8298293223412816</v>
      </c>
      <c r="J23" s="40">
        <f t="shared" si="8"/>
        <v>0.19179969760401175</v>
      </c>
      <c r="K23" s="38">
        <f t="shared" si="9"/>
        <v>24.108566397796494</v>
      </c>
      <c r="L23" s="41">
        <f t="shared" si="2"/>
        <v>61.2357586504031</v>
      </c>
      <c r="M23" s="58"/>
      <c r="N23" s="8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169">
        <f t="shared" si="3"/>
        <v>18.475208614068023</v>
      </c>
      <c r="C24" s="170">
        <f t="shared" si="4"/>
        <v>16</v>
      </c>
      <c r="D24" s="38">
        <f t="shared" si="0"/>
        <v>17.497812773403325</v>
      </c>
      <c r="E24" s="223">
        <f>SQRT(F24^2+G24^2)</f>
        <v>273.3300067802762</v>
      </c>
      <c r="F24" s="38">
        <f t="shared" si="5"/>
        <v>239.47774216523584</v>
      </c>
      <c r="G24" s="38">
        <f t="shared" si="6"/>
        <v>-131.75622798921754</v>
      </c>
      <c r="H24" s="39">
        <f t="shared" si="7"/>
        <v>-28.81877799213063</v>
      </c>
      <c r="I24" s="38">
        <f t="shared" si="1"/>
        <v>-1.8175819528230108</v>
      </c>
      <c r="J24" s="40">
        <f t="shared" si="8"/>
        <v>0.21919965440458486</v>
      </c>
      <c r="K24" s="38">
        <f t="shared" si="9"/>
        <v>26.392816860203027</v>
      </c>
      <c r="L24" s="41">
        <f t="shared" si="2"/>
        <v>67.0377548249157</v>
      </c>
      <c r="M24" s="58"/>
      <c r="N24" s="8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4"/>
      <c r="B25" s="169">
        <f t="shared" si="3"/>
        <v>20.784609690826525</v>
      </c>
      <c r="C25" s="170">
        <f t="shared" si="4"/>
        <v>18</v>
      </c>
      <c r="D25" s="38">
        <f t="shared" si="0"/>
        <v>19.68503937007874</v>
      </c>
      <c r="E25" s="223">
        <f>SQRT(F25^2+G25^2)</f>
        <v>273.7561933484743</v>
      </c>
      <c r="F25" s="38">
        <f t="shared" si="5"/>
        <v>239.47774216523584</v>
      </c>
      <c r="G25" s="38">
        <f t="shared" si="6"/>
        <v>-132.63809559884396</v>
      </c>
      <c r="H25" s="39">
        <f t="shared" si="7"/>
        <v>-28.98048933742458</v>
      </c>
      <c r="I25" s="38">
        <f t="shared" si="1"/>
        <v>-1.8054974408673814</v>
      </c>
      <c r="J25" s="40">
        <f t="shared" si="8"/>
        <v>0.24659961120515797</v>
      </c>
      <c r="K25" s="38">
        <f t="shared" si="9"/>
        <v>28.387109709718743</v>
      </c>
      <c r="L25" s="41">
        <f t="shared" si="2"/>
        <v>72.1032586626856</v>
      </c>
      <c r="M25" s="58"/>
      <c r="N25" s="8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4"/>
      <c r="B26" s="169">
        <f t="shared" si="3"/>
        <v>23.09401076758503</v>
      </c>
      <c r="C26" s="258">
        <f t="shared" si="4"/>
        <v>20</v>
      </c>
      <c r="D26" s="43">
        <f t="shared" si="0"/>
        <v>21.872265966754156</v>
      </c>
      <c r="E26" s="224">
        <f>SQRT(F26^2+G26^2)</f>
        <v>274.1845538460372</v>
      </c>
      <c r="F26" s="43">
        <f t="shared" si="5"/>
        <v>239.47774216523584</v>
      </c>
      <c r="G26" s="43">
        <f t="shared" si="6"/>
        <v>-133.51996320847041</v>
      </c>
      <c r="H26" s="44">
        <f t="shared" si="7"/>
        <v>-29.14169667795639</v>
      </c>
      <c r="I26" s="43">
        <f t="shared" si="1"/>
        <v>-1.7935725595679575</v>
      </c>
      <c r="J26" s="45">
        <f t="shared" si="8"/>
        <v>0.27399956800573105</v>
      </c>
      <c r="K26" s="43">
        <f t="shared" si="9"/>
        <v>30.091444946343245</v>
      </c>
      <c r="L26" s="46">
        <f t="shared" si="2"/>
        <v>76.43227016371185</v>
      </c>
      <c r="M26" s="58">
        <f>0.5*ASIN(9.81*C26/$F$4^2)*180/PI()</f>
        <v>0.8300322191918573</v>
      </c>
      <c r="N26" s="125"/>
      <c r="O26">
        <f>ASIN(9.81*C26*COS($F$6/180*PI())/(2*$F$4^2*COS(($F$5+$F$6)/180*PI())))*180/PI()</f>
        <v>0.8103600043001955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4"/>
      <c r="B27" s="169">
        <f t="shared" si="3"/>
        <v>25.40341184434353</v>
      </c>
      <c r="C27" s="170">
        <f t="shared" si="4"/>
        <v>22</v>
      </c>
      <c r="D27" s="38">
        <f t="shared" si="0"/>
        <v>24.059492563429572</v>
      </c>
      <c r="E27" s="223">
        <f aca="true" t="shared" si="10" ref="E27:E60">SQRT(F27^2+G27^2)</f>
        <v>274.61507809990246</v>
      </c>
      <c r="F27" s="38">
        <f t="shared" si="5"/>
        <v>239.47774216523584</v>
      </c>
      <c r="G27" s="38">
        <f t="shared" si="6"/>
        <v>-134.40183081809687</v>
      </c>
      <c r="H27" s="39">
        <f t="shared" si="7"/>
        <v>-29.3023998258881</v>
      </c>
      <c r="I27" s="38">
        <f t="shared" si="1"/>
        <v>-1.781804166710732</v>
      </c>
      <c r="J27" s="40">
        <f t="shared" si="8"/>
        <v>0.30139952480630416</v>
      </c>
      <c r="K27" s="38">
        <f t="shared" si="9"/>
        <v>31.505822570076703</v>
      </c>
      <c r="L27" s="41">
        <f t="shared" si="2"/>
        <v>80.02478932799482</v>
      </c>
      <c r="M27" s="58"/>
      <c r="N27" s="8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4"/>
      <c r="B28" s="169">
        <f t="shared" si="3"/>
        <v>27.712812921102035</v>
      </c>
      <c r="C28" s="170">
        <f t="shared" si="4"/>
        <v>24</v>
      </c>
      <c r="D28" s="38">
        <f t="shared" si="0"/>
        <v>26.246719160104988</v>
      </c>
      <c r="E28" s="223">
        <f t="shared" si="10"/>
        <v>275.0477559494757</v>
      </c>
      <c r="F28" s="38">
        <f t="shared" si="5"/>
        <v>239.47774216523584</v>
      </c>
      <c r="G28" s="38">
        <f t="shared" si="6"/>
        <v>-135.2836984277233</v>
      </c>
      <c r="H28" s="39">
        <f t="shared" si="7"/>
        <v>-29.462598626286056</v>
      </c>
      <c r="I28" s="38">
        <f t="shared" si="1"/>
        <v>-1.770189202013717</v>
      </c>
      <c r="J28" s="40">
        <f t="shared" si="8"/>
        <v>0.3287994816068773</v>
      </c>
      <c r="K28" s="38">
        <f t="shared" si="9"/>
        <v>32.630242580919</v>
      </c>
      <c r="L28" s="41">
        <f t="shared" si="2"/>
        <v>82.88081615553426</v>
      </c>
      <c r="M28" s="58"/>
      <c r="N28" s="8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4"/>
      <c r="B29" s="169">
        <f t="shared" si="3"/>
        <v>30.022213997860536</v>
      </c>
      <c r="C29" s="170">
        <f t="shared" si="4"/>
        <v>26</v>
      </c>
      <c r="D29" s="38">
        <f t="shared" si="0"/>
        <v>28.433945756780403</v>
      </c>
      <c r="E29" s="223">
        <f t="shared" si="10"/>
        <v>275.4825772473298</v>
      </c>
      <c r="F29" s="38">
        <f t="shared" si="5"/>
        <v>239.47774216523584</v>
      </c>
      <c r="G29" s="38">
        <f t="shared" si="6"/>
        <v>-136.16556603734975</v>
      </c>
      <c r="H29" s="39">
        <f t="shared" si="7"/>
        <v>-29.62229295672955</v>
      </c>
      <c r="I29" s="38">
        <f t="shared" si="1"/>
        <v>-1.7587246844738114</v>
      </c>
      <c r="J29" s="40">
        <f t="shared" si="8"/>
        <v>0.3561994384074504</v>
      </c>
      <c r="K29" s="38">
        <f t="shared" si="9"/>
        <v>33.46470497887037</v>
      </c>
      <c r="L29" s="41">
        <f t="shared" si="2"/>
        <v>85.00035064633074</v>
      </c>
      <c r="M29" s="58"/>
      <c r="N29" s="88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4"/>
      <c r="B30" s="169">
        <f t="shared" si="3"/>
        <v>32.33161507461904</v>
      </c>
      <c r="C30" s="170">
        <f t="shared" si="4"/>
        <v>28</v>
      </c>
      <c r="D30" s="38">
        <f t="shared" si="0"/>
        <v>30.62117235345582</v>
      </c>
      <c r="E30" s="223">
        <f t="shared" si="10"/>
        <v>275.9195318598912</v>
      </c>
      <c r="F30" s="38">
        <f t="shared" si="5"/>
        <v>239.47774216523584</v>
      </c>
      <c r="G30" s="38">
        <f t="shared" si="6"/>
        <v>-137.0474336469762</v>
      </c>
      <c r="H30" s="39">
        <f t="shared" si="7"/>
        <v>-29.781482726918945</v>
      </c>
      <c r="I30" s="38">
        <f t="shared" si="1"/>
        <v>-1.7474077098160943</v>
      </c>
      <c r="J30" s="40">
        <f t="shared" si="8"/>
        <v>0.3835993952080235</v>
      </c>
      <c r="K30" s="38">
        <f t="shared" si="9"/>
        <v>34.009209763930585</v>
      </c>
      <c r="L30" s="41">
        <f t="shared" si="2"/>
        <v>86.38339280038369</v>
      </c>
      <c r="M30" s="58"/>
      <c r="N30" s="8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4"/>
      <c r="B31" s="169">
        <f t="shared" si="3"/>
        <v>34.64101615137754</v>
      </c>
      <c r="C31" s="258">
        <f t="shared" si="4"/>
        <v>30</v>
      </c>
      <c r="D31" s="43">
        <f t="shared" si="0"/>
        <v>32.808398950131235</v>
      </c>
      <c r="E31" s="224">
        <f t="shared" si="10"/>
        <v>276.35860966811555</v>
      </c>
      <c r="F31" s="43">
        <f t="shared" si="5"/>
        <v>239.47774216523584</v>
      </c>
      <c r="G31" s="43">
        <f t="shared" si="6"/>
        <v>-137.92930125660266</v>
      </c>
      <c r="H31" s="44">
        <f t="shared" si="7"/>
        <v>-29.940167878283383</v>
      </c>
      <c r="I31" s="43">
        <f t="shared" si="1"/>
        <v>-1.7362354480409727</v>
      </c>
      <c r="J31" s="45">
        <f t="shared" si="8"/>
        <v>0.4109993520085966</v>
      </c>
      <c r="K31" s="43">
        <f t="shared" si="9"/>
        <v>34.26375693609964</v>
      </c>
      <c r="L31" s="46">
        <f t="shared" si="2"/>
        <v>87.02994261769308</v>
      </c>
      <c r="M31" s="58">
        <f>0.5*ASIN(9.81*C31/$F$4^2)*180/PI()</f>
        <v>1.2452662506016918</v>
      </c>
      <c r="N31" s="125"/>
      <c r="O31">
        <f>ASIN(9.81*C31*COS($F$6/180*PI())/(2*$F$4^2*COS(($F$5+$F$6)/180*PI())))*180/PI()</f>
        <v>1.215590673122377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4"/>
      <c r="B32" s="169">
        <f t="shared" si="3"/>
        <v>36.95041722813605</v>
      </c>
      <c r="C32" s="170">
        <f t="shared" si="4"/>
        <v>32</v>
      </c>
      <c r="D32" s="38">
        <f t="shared" si="0"/>
        <v>34.99562554680665</v>
      </c>
      <c r="E32" s="223">
        <f t="shared" si="10"/>
        <v>276.7998005681506</v>
      </c>
      <c r="F32" s="38">
        <f t="shared" si="5"/>
        <v>239.47774216523584</v>
      </c>
      <c r="G32" s="38">
        <f t="shared" si="6"/>
        <v>-138.81116886622908</v>
      </c>
      <c r="H32" s="39">
        <f t="shared" si="7"/>
        <v>-30.09834838358817</v>
      </c>
      <c r="I32" s="38">
        <f t="shared" si="1"/>
        <v>-1.7252051410648241</v>
      </c>
      <c r="J32" s="40">
        <f t="shared" si="8"/>
        <v>0.4383993088091697</v>
      </c>
      <c r="K32" s="38">
        <f t="shared" si="9"/>
        <v>34.22834649537765</v>
      </c>
      <c r="L32" s="41">
        <f t="shared" si="2"/>
        <v>86.94000009825923</v>
      </c>
      <c r="M32" s="58"/>
      <c r="N32" s="88"/>
      <c r="AA32" s="4"/>
      <c r="AB32" s="4"/>
    </row>
    <row r="33" spans="1:14" ht="12.75">
      <c r="A33" s="4"/>
      <c r="B33" s="169">
        <f t="shared" si="3"/>
        <v>39.25981830489455</v>
      </c>
      <c r="C33" s="170">
        <f t="shared" si="4"/>
        <v>34</v>
      </c>
      <c r="D33" s="38">
        <f t="shared" si="0"/>
        <v>37.182852143482066</v>
      </c>
      <c r="E33" s="223">
        <f t="shared" si="10"/>
        <v>277.2430944719884</v>
      </c>
      <c r="F33" s="38">
        <f t="shared" si="5"/>
        <v>239.47774216523584</v>
      </c>
      <c r="G33" s="38">
        <f t="shared" si="6"/>
        <v>-139.69303647585554</v>
      </c>
      <c r="H33" s="39">
        <f t="shared" si="7"/>
        <v>-30.256024246542054</v>
      </c>
      <c r="I33" s="38">
        <f t="shared" si="1"/>
        <v>-1.7143141004500042</v>
      </c>
      <c r="J33" s="40">
        <f t="shared" si="8"/>
        <v>0.46579926560974283</v>
      </c>
      <c r="K33" s="38">
        <f t="shared" si="9"/>
        <v>33.902978441764844</v>
      </c>
      <c r="L33" s="41">
        <f t="shared" si="2"/>
        <v>86.1135652420827</v>
      </c>
      <c r="M33" s="58"/>
      <c r="N33" s="88"/>
    </row>
    <row r="34" spans="2:14" ht="12.75">
      <c r="B34" s="169">
        <f t="shared" si="3"/>
        <v>41.56921938165305</v>
      </c>
      <c r="C34" s="170">
        <f t="shared" si="4"/>
        <v>36</v>
      </c>
      <c r="D34" s="38">
        <f t="shared" si="0"/>
        <v>39.37007874015748</v>
      </c>
      <c r="E34" s="223">
        <f t="shared" si="10"/>
        <v>277.6884813081047</v>
      </c>
      <c r="F34" s="38">
        <f t="shared" si="5"/>
        <v>239.47774216523584</v>
      </c>
      <c r="G34" s="38">
        <f t="shared" si="6"/>
        <v>-140.574904085482</v>
      </c>
      <c r="H34" s="39">
        <f t="shared" si="7"/>
        <v>-30.41319550140439</v>
      </c>
      <c r="I34" s="38">
        <f t="shared" si="1"/>
        <v>-1.7035597052203013</v>
      </c>
      <c r="J34" s="40">
        <f t="shared" si="8"/>
        <v>0.49319922241031594</v>
      </c>
      <c r="K34" s="38">
        <f t="shared" si="9"/>
        <v>33.28765277526065</v>
      </c>
      <c r="L34" s="41">
        <f t="shared" si="2"/>
        <v>84.55063804916206</v>
      </c>
      <c r="M34" s="58"/>
      <c r="N34" s="88"/>
    </row>
    <row r="35" spans="2:14" ht="12.75">
      <c r="B35" s="169">
        <f t="shared" si="3"/>
        <v>43.878620458411554</v>
      </c>
      <c r="C35" s="170">
        <f t="shared" si="4"/>
        <v>38</v>
      </c>
      <c r="D35" s="38">
        <f t="shared" si="0"/>
        <v>41.5573053368329</v>
      </c>
      <c r="E35" s="223">
        <f t="shared" si="10"/>
        <v>278.13595102208774</v>
      </c>
      <c r="F35" s="38">
        <f t="shared" si="5"/>
        <v>239.47774216523584</v>
      </c>
      <c r="G35" s="38">
        <f t="shared" si="6"/>
        <v>-141.45677169510842</v>
      </c>
      <c r="H35" s="39">
        <f t="shared" si="7"/>
        <v>-30.569862212592387</v>
      </c>
      <c r="I35" s="38">
        <f t="shared" si="1"/>
        <v>-1.692939399758103</v>
      </c>
      <c r="J35" s="40">
        <f t="shared" si="8"/>
        <v>0.520599179210889</v>
      </c>
      <c r="K35" s="38">
        <f t="shared" si="9"/>
        <v>32.38236949586542</v>
      </c>
      <c r="L35" s="41">
        <f t="shared" si="2"/>
        <v>82.25121851949817</v>
      </c>
      <c r="M35" s="58"/>
      <c r="N35" s="88"/>
    </row>
    <row r="36" spans="2:15" ht="12.75">
      <c r="B36" s="169">
        <f t="shared" si="3"/>
        <v>46.18802153517006</v>
      </c>
      <c r="C36" s="258">
        <f t="shared" si="4"/>
        <v>40</v>
      </c>
      <c r="D36" s="43">
        <f t="shared" si="0"/>
        <v>43.74453193350831</v>
      </c>
      <c r="E36" s="224">
        <f t="shared" si="10"/>
        <v>278.5854935772546</v>
      </c>
      <c r="F36" s="43">
        <f t="shared" si="5"/>
        <v>239.47774216523584</v>
      </c>
      <c r="G36" s="43">
        <f t="shared" si="6"/>
        <v>-142.33863930473487</v>
      </c>
      <c r="H36" s="44">
        <f t="shared" si="7"/>
        <v>-30.726024474288614</v>
      </c>
      <c r="I36" s="43">
        <f t="shared" si="1"/>
        <v>-1.6824506917797242</v>
      </c>
      <c r="J36" s="45">
        <f t="shared" si="8"/>
        <v>0.5479991360114621</v>
      </c>
      <c r="K36" s="43">
        <f t="shared" si="9"/>
        <v>31.187128603579367</v>
      </c>
      <c r="L36" s="46">
        <f t="shared" si="2"/>
        <v>79.21530665309159</v>
      </c>
      <c r="M36" s="58">
        <f>0.5*ASIN(9.81*C36/$F$4^2)*180/PI()</f>
        <v>1.6607622501708004</v>
      </c>
      <c r="N36" s="125"/>
      <c r="O36">
        <f>ASIN(9.81*C36*COS($F$6/180*PI())/(2*$F$4^2*COS(($F$5+$F$6)/180*PI())))*180/PI()</f>
        <v>1.6208821675046898</v>
      </c>
    </row>
    <row r="37" spans="2:14" ht="12.75">
      <c r="B37" s="169">
        <f t="shared" si="3"/>
        <v>48.49742261192856</v>
      </c>
      <c r="C37" s="170">
        <f t="shared" si="4"/>
        <v>42</v>
      </c>
      <c r="D37" s="38">
        <f t="shared" si="0"/>
        <v>45.93175853018373</v>
      </c>
      <c r="E37" s="223">
        <f t="shared" si="10"/>
        <v>279.03709895525685</v>
      </c>
      <c r="F37" s="38">
        <f t="shared" si="5"/>
        <v>239.47774216523584</v>
      </c>
      <c r="G37" s="38">
        <f t="shared" si="6"/>
        <v>-143.22050691436132</v>
      </c>
      <c r="H37" s="39">
        <f t="shared" si="7"/>
        <v>-30.881682410048704</v>
      </c>
      <c r="I37" s="38">
        <f t="shared" si="1"/>
        <v>-1.672091150385549</v>
      </c>
      <c r="J37" s="40">
        <f t="shared" si="8"/>
        <v>0.5753990928120352</v>
      </c>
      <c r="K37" s="38">
        <f t="shared" si="9"/>
        <v>29.701930098402386</v>
      </c>
      <c r="L37" s="41">
        <f t="shared" si="2"/>
        <v>75.44290244994207</v>
      </c>
      <c r="M37" s="58"/>
      <c r="N37" s="88"/>
    </row>
    <row r="38" spans="2:14" ht="12.75">
      <c r="B38" s="169">
        <f t="shared" si="3"/>
        <v>50.80682368868706</v>
      </c>
      <c r="C38" s="170">
        <f t="shared" si="4"/>
        <v>44</v>
      </c>
      <c r="D38" s="38">
        <f t="shared" si="0"/>
        <v>48.118985126859144</v>
      </c>
      <c r="E38" s="223">
        <f t="shared" si="10"/>
        <v>279.4907571566738</v>
      </c>
      <c r="F38" s="38">
        <f t="shared" si="5"/>
        <v>239.47774216523584</v>
      </c>
      <c r="G38" s="38">
        <f t="shared" si="6"/>
        <v>-144.10237452398775</v>
      </c>
      <c r="H38" s="39">
        <f t="shared" si="7"/>
        <v>-31.036836172409586</v>
      </c>
      <c r="I38" s="38">
        <f t="shared" si="1"/>
        <v>-1.6618584041817548</v>
      </c>
      <c r="J38" s="40">
        <f t="shared" si="8"/>
        <v>0.6027990496126083</v>
      </c>
      <c r="K38" s="38">
        <f t="shared" si="9"/>
        <v>27.926773980333678</v>
      </c>
      <c r="L38" s="41">
        <f t="shared" si="2"/>
        <v>70.93400591004755</v>
      </c>
      <c r="M38" s="58"/>
      <c r="N38" s="88"/>
    </row>
    <row r="39" spans="2:14" ht="12.75">
      <c r="B39" s="169">
        <f t="shared" si="3"/>
        <v>53.116224765445565</v>
      </c>
      <c r="C39" s="170">
        <f t="shared" si="4"/>
        <v>46</v>
      </c>
      <c r="D39" s="38">
        <f t="shared" si="0"/>
        <v>50.30621172353456</v>
      </c>
      <c r="E39" s="223">
        <f t="shared" si="10"/>
        <v>279.9464582015955</v>
      </c>
      <c r="F39" s="38">
        <f t="shared" si="5"/>
        <v>239.47774216523584</v>
      </c>
      <c r="G39" s="38">
        <f t="shared" si="6"/>
        <v>-144.9842421336142</v>
      </c>
      <c r="H39" s="39">
        <f t="shared" si="7"/>
        <v>-31.191485942498133</v>
      </c>
      <c r="I39" s="38">
        <f t="shared" si="1"/>
        <v>-1.6517501394705958</v>
      </c>
      <c r="J39" s="40">
        <f t="shared" si="8"/>
        <v>0.6301990064131815</v>
      </c>
      <c r="K39" s="38">
        <f t="shared" si="9"/>
        <v>25.861660249374268</v>
      </c>
      <c r="L39" s="41">
        <f t="shared" si="2"/>
        <v>65.68861703341064</v>
      </c>
      <c r="M39" s="58"/>
      <c r="N39" s="88"/>
    </row>
    <row r="40" spans="2:14" ht="12.75">
      <c r="B40" s="169">
        <f t="shared" si="3"/>
        <v>55.42562584220407</v>
      </c>
      <c r="C40" s="170">
        <f t="shared" si="4"/>
        <v>48</v>
      </c>
      <c r="D40" s="38">
        <f t="shared" si="0"/>
        <v>52.493438320209975</v>
      </c>
      <c r="E40" s="223">
        <f t="shared" si="10"/>
        <v>280.4041921301932</v>
      </c>
      <c r="F40" s="38">
        <f t="shared" si="5"/>
        <v>239.47774216523584</v>
      </c>
      <c r="G40" s="38">
        <f t="shared" si="6"/>
        <v>-145.86610974324066</v>
      </c>
      <c r="H40" s="39">
        <f t="shared" si="7"/>
        <v>-31.34563192964054</v>
      </c>
      <c r="I40" s="38">
        <f t="shared" si="1"/>
        <v>-1.6417640985063229</v>
      </c>
      <c r="J40" s="40">
        <f t="shared" si="8"/>
        <v>0.6575989632137546</v>
      </c>
      <c r="K40" s="38">
        <f t="shared" si="9"/>
        <v>23.506588905523813</v>
      </c>
      <c r="L40" s="41">
        <f t="shared" si="2"/>
        <v>59.70673582003049</v>
      </c>
      <c r="M40" s="58"/>
      <c r="N40" s="88"/>
    </row>
    <row r="41" spans="2:15" ht="12.75">
      <c r="B41" s="169">
        <f t="shared" si="3"/>
        <v>57.735026918962575</v>
      </c>
      <c r="C41" s="258">
        <f t="shared" si="4"/>
        <v>50</v>
      </c>
      <c r="D41" s="43">
        <f t="shared" si="0"/>
        <v>54.68066491688539</v>
      </c>
      <c r="E41" s="224">
        <f t="shared" si="10"/>
        <v>280.86394900327946</v>
      </c>
      <c r="F41" s="43">
        <f t="shared" si="5"/>
        <v>239.47774216523584</v>
      </c>
      <c r="G41" s="43">
        <f t="shared" si="6"/>
        <v>-146.7479773528671</v>
      </c>
      <c r="H41" s="44">
        <f t="shared" si="7"/>
        <v>-31.499274370972344</v>
      </c>
      <c r="I41" s="43">
        <f t="shared" si="1"/>
        <v>-1.6318980778139973</v>
      </c>
      <c r="J41" s="45">
        <f t="shared" si="8"/>
        <v>0.6849989200143276</v>
      </c>
      <c r="K41" s="43">
        <f t="shared" si="9"/>
        <v>20.861559948782315</v>
      </c>
      <c r="L41" s="46">
        <f t="shared" si="2"/>
        <v>52.98836226990708</v>
      </c>
      <c r="M41" s="58">
        <f>0.5*ASIN(9.81*C41/$F$4^2)*180/PI()</f>
        <v>2.0766083131968625</v>
      </c>
      <c r="N41" s="125"/>
      <c r="O41">
        <f>ASIN(9.81*C41*COS($F$6/180*PI())/(2*$F$4^2*COS(($F$5+$F$6)/180*PI())))*180/PI()</f>
        <v>2.026254805257489</v>
      </c>
    </row>
    <row r="42" spans="2:14" ht="12.75">
      <c r="B42" s="169">
        <f t="shared" si="3"/>
        <v>60.04442799572107</v>
      </c>
      <c r="C42" s="170">
        <f t="shared" si="4"/>
        <v>52</v>
      </c>
      <c r="D42" s="38">
        <f t="shared" si="0"/>
        <v>56.86789151356081</v>
      </c>
      <c r="E42" s="223">
        <f t="shared" si="10"/>
        <v>281.3257189028565</v>
      </c>
      <c r="F42" s="38">
        <f t="shared" si="5"/>
        <v>239.47774216523584</v>
      </c>
      <c r="G42" s="38">
        <f t="shared" si="6"/>
        <v>-147.62984496249354</v>
      </c>
      <c r="H42" s="39">
        <f t="shared" si="7"/>
        <v>-31.65241353104937</v>
      </c>
      <c r="I42" s="38">
        <f t="shared" si="1"/>
        <v>-1.6221499265685537</v>
      </c>
      <c r="J42" s="40">
        <f t="shared" si="8"/>
        <v>0.7123988768149008</v>
      </c>
      <c r="K42" s="38">
        <f t="shared" si="9"/>
        <v>17.92657337914966</v>
      </c>
      <c r="L42" s="41">
        <f t="shared" si="2"/>
        <v>45.53349638304013</v>
      </c>
      <c r="M42" s="58"/>
      <c r="N42" s="88"/>
    </row>
    <row r="43" spans="2:14" ht="12.75">
      <c r="B43" s="169">
        <f t="shared" si="3"/>
        <v>62.35382907247958</v>
      </c>
      <c r="C43" s="170">
        <f t="shared" si="4"/>
        <v>54</v>
      </c>
      <c r="D43" s="38">
        <f t="shared" si="0"/>
        <v>59.05511811023622</v>
      </c>
      <c r="E43" s="223">
        <f t="shared" si="10"/>
        <v>281.7894919326538</v>
      </c>
      <c r="F43" s="38">
        <f t="shared" si="5"/>
        <v>239.47774216523584</v>
      </c>
      <c r="G43" s="38">
        <f t="shared" si="6"/>
        <v>-148.51171257212</v>
      </c>
      <c r="H43" s="39">
        <f t="shared" si="7"/>
        <v>-31.805049701459538</v>
      </c>
      <c r="I43" s="38">
        <f t="shared" si="1"/>
        <v>-1.6125175450316156</v>
      </c>
      <c r="J43" s="40">
        <f t="shared" si="8"/>
        <v>0.7397988336154739</v>
      </c>
      <c r="K43" s="38">
        <f t="shared" si="9"/>
        <v>14.701629196625845</v>
      </c>
      <c r="L43" s="41">
        <f t="shared" si="2"/>
        <v>37.342138159429645</v>
      </c>
      <c r="M43" s="58"/>
      <c r="N43" s="88"/>
    </row>
    <row r="44" spans="2:14" ht="12.75">
      <c r="B44" s="169">
        <f t="shared" si="3"/>
        <v>64.66323014923807</v>
      </c>
      <c r="C44" s="170">
        <f t="shared" si="4"/>
        <v>56</v>
      </c>
      <c r="D44" s="38">
        <f t="shared" si="0"/>
        <v>61.24234470691164</v>
      </c>
      <c r="E44" s="223">
        <f t="shared" si="10"/>
        <v>282.25525821865403</v>
      </c>
      <c r="F44" s="38">
        <f t="shared" si="5"/>
        <v>239.47774216523584</v>
      </c>
      <c r="G44" s="38">
        <f t="shared" si="6"/>
        <v>-149.39358018174644</v>
      </c>
      <c r="H44" s="39">
        <f t="shared" si="7"/>
        <v>-31.95718320043574</v>
      </c>
      <c r="I44" s="38">
        <f t="shared" si="1"/>
        <v>-1.6029988830436788</v>
      </c>
      <c r="J44" s="40">
        <f t="shared" si="8"/>
        <v>0.767198790416047</v>
      </c>
      <c r="K44" s="38">
        <f t="shared" si="9"/>
        <v>11.186727401211101</v>
      </c>
      <c r="L44" s="41">
        <f t="shared" si="2"/>
        <v>28.414287599076196</v>
      </c>
      <c r="M44" s="58"/>
      <c r="N44" s="88"/>
    </row>
    <row r="45" spans="2:14" ht="12.75">
      <c r="B45" s="169">
        <f t="shared" si="3"/>
        <v>66.97263122599658</v>
      </c>
      <c r="C45" s="170">
        <f t="shared" si="4"/>
        <v>58</v>
      </c>
      <c r="D45" s="38">
        <f t="shared" si="0"/>
        <v>63.42957130358705</v>
      </c>
      <c r="E45" s="223">
        <f t="shared" si="10"/>
        <v>282.72300790960895</v>
      </c>
      <c r="F45" s="38">
        <f t="shared" si="5"/>
        <v>239.47774216523584</v>
      </c>
      <c r="G45" s="38">
        <f t="shared" si="6"/>
        <v>-150.27544779137287</v>
      </c>
      <c r="H45" s="39">
        <f t="shared" si="7"/>
        <v>-32.10881437246981</v>
      </c>
      <c r="I45" s="38">
        <f t="shared" si="1"/>
        <v>-1.5935919385693824</v>
      </c>
      <c r="J45" s="40">
        <f t="shared" si="8"/>
        <v>0.79459874721662</v>
      </c>
      <c r="K45" s="38">
        <f t="shared" si="9"/>
        <v>7.3818679929052</v>
      </c>
      <c r="L45" s="41">
        <f t="shared" si="2"/>
        <v>18.749944701979206</v>
      </c>
      <c r="M45" s="58"/>
      <c r="N45" s="88"/>
    </row>
    <row r="46" spans="2:15" ht="12.75">
      <c r="B46" s="169">
        <f t="shared" si="3"/>
        <v>69.28203230275508</v>
      </c>
      <c r="C46" s="258">
        <f t="shared" si="4"/>
        <v>60</v>
      </c>
      <c r="D46" s="43">
        <f t="shared" si="0"/>
        <v>65.61679790026247</v>
      </c>
      <c r="E46" s="224">
        <f t="shared" si="10"/>
        <v>283.1927311775434</v>
      </c>
      <c r="F46" s="43">
        <f t="shared" si="5"/>
        <v>239.47774216523584</v>
      </c>
      <c r="G46" s="43">
        <f t="shared" si="6"/>
        <v>-151.15731540099932</v>
      </c>
      <c r="H46" s="44">
        <f t="shared" si="7"/>
        <v>-32.25994358792777</v>
      </c>
      <c r="I46" s="43">
        <f t="shared" si="1"/>
        <v>-1.584294756293698</v>
      </c>
      <c r="J46" s="45">
        <f t="shared" si="8"/>
        <v>0.8219987040171932</v>
      </c>
      <c r="K46" s="43">
        <f t="shared" si="9"/>
        <v>3.287050971708368</v>
      </c>
      <c r="L46" s="46">
        <f t="shared" si="2"/>
        <v>8.349109468139254</v>
      </c>
      <c r="M46" s="58">
        <f>0.5*ASIN(9.81*C46/$F$4^2)*180/PI()</f>
        <v>2.492893202429345</v>
      </c>
      <c r="N46" s="125"/>
      <c r="O46">
        <f>ASIN(9.81*C46*COS($F$6/180*PI())/(2*$F$4^2*COS(($F$5+$F$6)/180*PI())))*180/PI()</f>
        <v>2.4317289407942932</v>
      </c>
    </row>
    <row r="47" spans="2:14" ht="12.75">
      <c r="B47" s="169">
        <f t="shared" si="3"/>
        <v>71.59143337951359</v>
      </c>
      <c r="C47" s="170">
        <f t="shared" si="4"/>
        <v>62</v>
      </c>
      <c r="D47" s="257">
        <f t="shared" si="0"/>
        <v>67.80402449693788</v>
      </c>
      <c r="E47" s="223">
        <f t="shared" si="10"/>
        <v>283.66441821824907</v>
      </c>
      <c r="F47" s="38">
        <f t="shared" si="5"/>
        <v>239.47774216523584</v>
      </c>
      <c r="G47" s="38">
        <f t="shared" si="6"/>
        <v>-152.03918301062578</v>
      </c>
      <c r="H47" s="39">
        <f t="shared" si="7"/>
        <v>-32.41057124266628</v>
      </c>
      <c r="I47" s="38">
        <f t="shared" si="1"/>
        <v>-1.5751054262669848</v>
      </c>
      <c r="J47" s="40">
        <f t="shared" si="8"/>
        <v>0.8493986608177664</v>
      </c>
      <c r="K47" s="38">
        <f t="shared" si="9"/>
        <v>-1.0977236623800763</v>
      </c>
      <c r="L47" s="41">
        <f t="shared" si="2"/>
        <v>-2.788218102445394</v>
      </c>
      <c r="M47" s="58"/>
      <c r="N47" s="88"/>
    </row>
    <row r="48" spans="2:14" ht="12.75">
      <c r="B48" s="169">
        <f t="shared" si="3"/>
        <v>73.9008344562721</v>
      </c>
      <c r="C48" s="170">
        <f t="shared" si="4"/>
        <v>64</v>
      </c>
      <c r="D48" s="38">
        <f aca="true" t="shared" si="11" ref="D48:D61">C48/0.9144</f>
        <v>69.9912510936133</v>
      </c>
      <c r="E48" s="223">
        <f t="shared" si="10"/>
        <v>284.13805925176746</v>
      </c>
      <c r="F48" s="38">
        <f t="shared" si="5"/>
        <v>239.47774216523584</v>
      </c>
      <c r="G48" s="38">
        <f t="shared" si="6"/>
        <v>-152.92105062025223</v>
      </c>
      <c r="H48" s="39">
        <f t="shared" si="7"/>
        <v>-32.56069775765053</v>
      </c>
      <c r="I48" s="38">
        <f t="shared" si="1"/>
        <v>-1.5660220825969158</v>
      </c>
      <c r="J48" s="40">
        <f t="shared" si="8"/>
        <v>0.8767986176183394</v>
      </c>
      <c r="K48" s="38">
        <f t="shared" si="9"/>
        <v>-5.772455909358996</v>
      </c>
      <c r="L48" s="41">
        <f t="shared" si="2"/>
        <v>-14.66203800977185</v>
      </c>
      <c r="M48" s="58"/>
      <c r="N48" s="88"/>
    </row>
    <row r="49" spans="2:14" ht="12.75">
      <c r="B49" s="169">
        <f t="shared" si="3"/>
        <v>76.2102355330306</v>
      </c>
      <c r="C49" s="170">
        <f t="shared" si="4"/>
        <v>66</v>
      </c>
      <c r="D49" s="38">
        <f t="shared" si="11"/>
        <v>72.17847769028872</v>
      </c>
      <c r="E49" s="223">
        <f t="shared" si="10"/>
        <v>284.61364452286176</v>
      </c>
      <c r="F49" s="38">
        <f t="shared" si="5"/>
        <v>239.47774216523584</v>
      </c>
      <c r="G49" s="38">
        <f t="shared" si="6"/>
        <v>-153.80291822987866</v>
      </c>
      <c r="H49" s="39">
        <f t="shared" si="7"/>
        <v>-32.710323578573636</v>
      </c>
      <c r="I49" s="38">
        <f t="shared" si="1"/>
        <v>-1.5570429021854113</v>
      </c>
      <c r="J49" s="40">
        <f t="shared" si="8"/>
        <v>0.9041985744189125</v>
      </c>
      <c r="K49" s="38">
        <f t="shared" si="9"/>
        <v>-10.737145769228619</v>
      </c>
      <c r="L49" s="41">
        <f t="shared" si="2"/>
        <v>-27.272350253840692</v>
      </c>
      <c r="M49" s="58"/>
      <c r="N49" s="88"/>
    </row>
    <row r="50" spans="2:14" ht="12.75">
      <c r="B50" s="169">
        <f t="shared" si="3"/>
        <v>78.5196366097891</v>
      </c>
      <c r="C50" s="170">
        <f t="shared" si="4"/>
        <v>68</v>
      </c>
      <c r="D50" s="38">
        <f t="shared" si="11"/>
        <v>74.36570428696413</v>
      </c>
      <c r="E50" s="223">
        <f t="shared" si="10"/>
        <v>285.0911643014787</v>
      </c>
      <c r="F50" s="38">
        <f t="shared" si="5"/>
        <v>239.47774216523584</v>
      </c>
      <c r="G50" s="38">
        <f t="shared" si="6"/>
        <v>-154.6847858395051</v>
      </c>
      <c r="H50" s="39">
        <f t="shared" si="7"/>
        <v>-32.85944917547752</v>
      </c>
      <c r="I50" s="38">
        <f t="shared" si="1"/>
        <v>-1.5481661035087744</v>
      </c>
      <c r="J50" s="40">
        <f t="shared" si="8"/>
        <v>0.9315985312194857</v>
      </c>
      <c r="K50" s="38">
        <f t="shared" si="9"/>
        <v>-15.99179324199008</v>
      </c>
      <c r="L50" s="41">
        <f t="shared" si="2"/>
        <v>-40.61915483465481</v>
      </c>
      <c r="M50" s="58"/>
      <c r="N50" s="88"/>
    </row>
    <row r="51" spans="2:14" ht="12.75">
      <c r="B51" s="169">
        <f t="shared" si="3"/>
        <v>80.82903768654761</v>
      </c>
      <c r="C51" s="170">
        <f t="shared" si="4"/>
        <v>70</v>
      </c>
      <c r="D51" s="38">
        <f t="shared" si="11"/>
        <v>76.55293088363955</v>
      </c>
      <c r="E51" s="223">
        <f t="shared" si="10"/>
        <v>285.5706088831996</v>
      </c>
      <c r="F51" s="38">
        <f t="shared" si="5"/>
        <v>239.47774216523584</v>
      </c>
      <c r="G51" s="38">
        <f t="shared" si="6"/>
        <v>-155.56665344913156</v>
      </c>
      <c r="H51" s="39">
        <f t="shared" si="7"/>
        <v>-33.008075042375445</v>
      </c>
      <c r="I51" s="38">
        <f t="shared" si="1"/>
        <v>-1.5393899454393176</v>
      </c>
      <c r="J51" s="40">
        <f t="shared" si="8"/>
        <v>0.9589984880200588</v>
      </c>
      <c r="K51" s="38">
        <f t="shared" si="9"/>
        <v>-21.536398327642473</v>
      </c>
      <c r="L51" s="41">
        <f t="shared" si="2"/>
        <v>-54.702451752211886</v>
      </c>
      <c r="M51" s="58">
        <f>0.5*ASIN(9.81*C51/$F$4^2)*180/PI()</f>
        <v>2.9097065215491913</v>
      </c>
      <c r="N51" s="125"/>
    </row>
    <row r="52" spans="2:14" ht="12.75">
      <c r="B52" s="169">
        <f t="shared" si="3"/>
        <v>83.1384387633061</v>
      </c>
      <c r="C52" s="170">
        <f t="shared" si="4"/>
        <v>72</v>
      </c>
      <c r="D52" s="38">
        <f t="shared" si="11"/>
        <v>78.74015748031496</v>
      </c>
      <c r="E52" s="223">
        <f t="shared" si="10"/>
        <v>286.05196858968094</v>
      </c>
      <c r="F52" s="38">
        <f t="shared" si="5"/>
        <v>239.47774216523584</v>
      </c>
      <c r="G52" s="38">
        <f t="shared" si="6"/>
        <v>-156.448521058758</v>
      </c>
      <c r="H52" s="39">
        <f t="shared" si="7"/>
        <v>-33.15620169687626</v>
      </c>
      <c r="I52" s="38">
        <f t="shared" si="1"/>
        <v>-1.5307127261068463</v>
      </c>
      <c r="J52" s="40">
        <f t="shared" si="8"/>
        <v>0.9863984448206319</v>
      </c>
      <c r="K52" s="38">
        <f t="shared" si="9"/>
        <v>-27.370961026186023</v>
      </c>
      <c r="L52" s="41">
        <f t="shared" si="2"/>
        <v>-69.5222410065125</v>
      </c>
      <c r="M52" s="58"/>
      <c r="N52" s="88"/>
    </row>
    <row r="53" spans="2:14" ht="12.75">
      <c r="B53" s="169">
        <f t="shared" si="3"/>
        <v>85.4478398400646</v>
      </c>
      <c r="C53" s="170">
        <f t="shared" si="4"/>
        <v>74</v>
      </c>
      <c r="D53" s="38">
        <f t="shared" si="11"/>
        <v>80.92738407699038</v>
      </c>
      <c r="E53" s="223">
        <f t="shared" si="10"/>
        <v>286.5352337690848</v>
      </c>
      <c r="F53" s="38">
        <f t="shared" si="5"/>
        <v>239.47774216523584</v>
      </c>
      <c r="G53" s="38">
        <f t="shared" si="6"/>
        <v>-157.33038866838444</v>
      </c>
      <c r="H53" s="39">
        <f t="shared" si="7"/>
        <v>-33.303829679810406</v>
      </c>
      <c r="I53" s="38">
        <f t="shared" si="1"/>
        <v>-1.5221327817984276</v>
      </c>
      <c r="J53" s="40">
        <f t="shared" si="8"/>
        <v>1.013798401621205</v>
      </c>
      <c r="K53" s="38">
        <f t="shared" si="9"/>
        <v>-33.49548133762005</v>
      </c>
      <c r="L53" s="41">
        <f t="shared" si="2"/>
        <v>-85.07852259755492</v>
      </c>
      <c r="M53" s="58"/>
      <c r="N53" s="88"/>
    </row>
    <row r="54" spans="2:14" ht="12.75">
      <c r="B54" s="169">
        <f t="shared" si="3"/>
        <v>87.75724091682311</v>
      </c>
      <c r="C54" s="170">
        <f t="shared" si="4"/>
        <v>76</v>
      </c>
      <c r="D54" s="38">
        <f t="shared" si="11"/>
        <v>83.1146106736658</v>
      </c>
      <c r="E54" s="223">
        <f t="shared" si="10"/>
        <v>287.02039479649903</v>
      </c>
      <c r="F54" s="38">
        <f t="shared" si="5"/>
        <v>239.47774216523584</v>
      </c>
      <c r="G54" s="38">
        <f t="shared" si="6"/>
        <v>-158.2122562780109</v>
      </c>
      <c r="H54" s="39">
        <f t="shared" si="7"/>
        <v>-33.450959554857775</v>
      </c>
      <c r="I54" s="38">
        <f t="shared" si="1"/>
        <v>-1.5136484858949555</v>
      </c>
      <c r="J54" s="40">
        <f t="shared" si="8"/>
        <v>1.041198358421778</v>
      </c>
      <c r="K54" s="38">
        <f t="shared" si="9"/>
        <v>-39.909959261945914</v>
      </c>
      <c r="L54" s="41">
        <f t="shared" si="2"/>
        <v>-101.37129652534263</v>
      </c>
      <c r="M54" s="58"/>
      <c r="N54" s="88"/>
    </row>
    <row r="55" spans="2:14" ht="12.75">
      <c r="B55" s="169">
        <f t="shared" si="3"/>
        <v>90.06664199358161</v>
      </c>
      <c r="C55" s="170">
        <f t="shared" si="4"/>
        <v>78</v>
      </c>
      <c r="D55" s="38">
        <f t="shared" si="11"/>
        <v>85.30183727034121</v>
      </c>
      <c r="E55" s="223">
        <f t="shared" si="10"/>
        <v>287.5074420743471</v>
      </c>
      <c r="F55" s="38">
        <f t="shared" si="5"/>
        <v>239.47774216523584</v>
      </c>
      <c r="G55" s="38">
        <f t="shared" si="6"/>
        <v>-159.09412388763735</v>
      </c>
      <c r="H55" s="39">
        <f t="shared" si="7"/>
        <v>-33.59759190817751</v>
      </c>
      <c r="I55" s="38">
        <f t="shared" si="1"/>
        <v>-1.505258247843086</v>
      </c>
      <c r="J55" s="40">
        <f t="shared" si="8"/>
        <v>1.0685983152223513</v>
      </c>
      <c r="K55" s="38">
        <f t="shared" si="9"/>
        <v>-46.61439479916294</v>
      </c>
      <c r="L55" s="41">
        <f t="shared" si="2"/>
        <v>-118.40056278987386</v>
      </c>
      <c r="M55" s="58"/>
      <c r="N55" s="88"/>
    </row>
    <row r="56" spans="2:14" ht="12.75">
      <c r="B56" s="169">
        <f t="shared" si="3"/>
        <v>92.37604307034012</v>
      </c>
      <c r="C56" s="170">
        <f t="shared" si="4"/>
        <v>80</v>
      </c>
      <c r="D56" s="38">
        <f t="shared" si="11"/>
        <v>87.48906386701663</v>
      </c>
      <c r="E56" s="223">
        <f t="shared" si="10"/>
        <v>287.99636603278833</v>
      </c>
      <c r="F56" s="38">
        <f t="shared" si="5"/>
        <v>239.47774216523584</v>
      </c>
      <c r="G56" s="38">
        <f t="shared" si="6"/>
        <v>-159.97599149726378</v>
      </c>
      <c r="H56" s="39">
        <f t="shared" si="7"/>
        <v>-33.74372734803972</v>
      </c>
      <c r="I56" s="38">
        <f t="shared" si="1"/>
        <v>-1.4969605121611755</v>
      </c>
      <c r="J56" s="40">
        <f t="shared" si="8"/>
        <v>1.0959982720229242</v>
      </c>
      <c r="K56" s="38">
        <f t="shared" si="9"/>
        <v>-53.608787949269754</v>
      </c>
      <c r="L56" s="41">
        <f t="shared" si="2"/>
        <v>-136.16632139114517</v>
      </c>
      <c r="M56" s="58">
        <f>0.5*ASIN(9.81*C56/$F$4^2)*180/PI()</f>
        <v>3.327138893160574</v>
      </c>
      <c r="N56" s="125"/>
    </row>
    <row r="57" spans="2:14" ht="12.75">
      <c r="B57" s="169">
        <f t="shared" si="3"/>
        <v>94.68544414709862</v>
      </c>
      <c r="C57" s="170">
        <f t="shared" si="4"/>
        <v>82</v>
      </c>
      <c r="D57" s="38">
        <f t="shared" si="11"/>
        <v>89.67629046369204</v>
      </c>
      <c r="E57" s="223">
        <f t="shared" si="10"/>
        <v>288.4871571301075</v>
      </c>
      <c r="F57" s="38">
        <f t="shared" si="5"/>
        <v>239.47774216523584</v>
      </c>
      <c r="G57" s="38">
        <f t="shared" si="6"/>
        <v>-160.85785910689023</v>
      </c>
      <c r="H57" s="39">
        <f t="shared" si="7"/>
        <v>-33.88936650445932</v>
      </c>
      <c r="I57" s="38">
        <f t="shared" si="1"/>
        <v>-1.4887537574779148</v>
      </c>
      <c r="J57" s="40">
        <f t="shared" si="8"/>
        <v>1.1233982288234974</v>
      </c>
      <c r="K57" s="38">
        <f t="shared" si="9"/>
        <v>-60.89313871226841</v>
      </c>
      <c r="L57" s="41">
        <f t="shared" si="2"/>
        <v>-154.66857232916178</v>
      </c>
      <c r="M57" s="58"/>
      <c r="N57" s="88"/>
    </row>
    <row r="58" spans="2:14" ht="12.75">
      <c r="B58" s="169">
        <f t="shared" si="3"/>
        <v>96.99484522385713</v>
      </c>
      <c r="C58" s="170">
        <f t="shared" si="4"/>
        <v>84</v>
      </c>
      <c r="D58" s="38">
        <f t="shared" si="11"/>
        <v>91.86351706036746</v>
      </c>
      <c r="E58" s="223">
        <f t="shared" si="10"/>
        <v>288.97980585309534</v>
      </c>
      <c r="F58" s="38">
        <f t="shared" si="5"/>
        <v>239.47774216523584</v>
      </c>
      <c r="G58" s="38">
        <f t="shared" si="6"/>
        <v>-161.73972671651666</v>
      </c>
      <c r="H58" s="39">
        <f t="shared" si="7"/>
        <v>-34.0345100288319</v>
      </c>
      <c r="I58" s="38">
        <f t="shared" si="1"/>
        <v>-1.4806364956024172</v>
      </c>
      <c r="J58" s="40">
        <f t="shared" si="8"/>
        <v>1.1507981856240703</v>
      </c>
      <c r="K58" s="38">
        <f t="shared" si="9"/>
        <v>-68.467447088158</v>
      </c>
      <c r="L58" s="41">
        <f t="shared" si="2"/>
        <v>-173.90731560392132</v>
      </c>
      <c r="M58" s="58"/>
      <c r="N58" s="88"/>
    </row>
    <row r="59" spans="2:14" ht="12.75">
      <c r="B59" s="169">
        <f t="shared" si="3"/>
        <v>99.30424630061563</v>
      </c>
      <c r="C59" s="170">
        <f t="shared" si="4"/>
        <v>86</v>
      </c>
      <c r="D59" s="38">
        <f t="shared" si="11"/>
        <v>94.05074365704287</v>
      </c>
      <c r="E59" s="223">
        <f t="shared" si="10"/>
        <v>289.4743027174188</v>
      </c>
      <c r="F59" s="38">
        <f t="shared" si="5"/>
        <v>239.47774216523584</v>
      </c>
      <c r="G59" s="38">
        <f t="shared" si="6"/>
        <v>-162.6215943261431</v>
      </c>
      <c r="H59" s="39">
        <f t="shared" si="7"/>
        <v>-34.17915859357186</v>
      </c>
      <c r="I59" s="38">
        <f t="shared" si="1"/>
        <v>-1.4726072706245588</v>
      </c>
      <c r="J59" s="40">
        <f t="shared" si="8"/>
        <v>1.1781981424246437</v>
      </c>
      <c r="K59" s="38">
        <f t="shared" si="9"/>
        <v>-76.33171307693942</v>
      </c>
      <c r="L59" s="41">
        <f t="shared" si="2"/>
        <v>-193.88255121542613</v>
      </c>
      <c r="M59" s="58"/>
      <c r="N59" s="88"/>
    </row>
    <row r="60" spans="2:14" ht="12.75">
      <c r="B60" s="169">
        <f t="shared" si="3"/>
        <v>101.61364737737412</v>
      </c>
      <c r="C60" s="170">
        <f t="shared" si="4"/>
        <v>88</v>
      </c>
      <c r="D60" s="38">
        <f t="shared" si="11"/>
        <v>96.23797025371829</v>
      </c>
      <c r="E60" s="223">
        <f t="shared" si="10"/>
        <v>289.97063826798194</v>
      </c>
      <c r="F60" s="38">
        <f t="shared" si="5"/>
        <v>239.47774216523584</v>
      </c>
      <c r="G60" s="38">
        <f t="shared" si="6"/>
        <v>-163.50346193576956</v>
      </c>
      <c r="H60" s="39">
        <f t="shared" si="7"/>
        <v>-34.32331289175262</v>
      </c>
      <c r="I60" s="38">
        <f t="shared" si="1"/>
        <v>-1.464664658044439</v>
      </c>
      <c r="J60" s="40">
        <f t="shared" si="8"/>
        <v>1.2055980992252167</v>
      </c>
      <c r="K60" s="38">
        <f t="shared" si="9"/>
        <v>-84.4859366786111</v>
      </c>
      <c r="L60" s="41">
        <f t="shared" si="2"/>
        <v>-214.59427916367218</v>
      </c>
      <c r="M60" s="58"/>
      <c r="N60" s="88"/>
    </row>
    <row r="61" spans="2:14" ht="13.5" thickBot="1">
      <c r="B61" s="171">
        <f t="shared" si="3"/>
        <v>103.92304845413263</v>
      </c>
      <c r="C61" s="259">
        <f t="shared" si="4"/>
        <v>90</v>
      </c>
      <c r="D61" s="47">
        <f t="shared" si="11"/>
        <v>98.4251968503937</v>
      </c>
      <c r="E61" s="276">
        <f>SQRT(F61^2+G61^2)</f>
        <v>290.4688030792767</v>
      </c>
      <c r="F61" s="47">
        <f t="shared" si="5"/>
        <v>239.47774216523584</v>
      </c>
      <c r="G61" s="47">
        <f t="shared" si="6"/>
        <v>-164.38532954539602</v>
      </c>
      <c r="H61" s="131">
        <f t="shared" si="7"/>
        <v>-34.46697363674925</v>
      </c>
      <c r="I61" s="47">
        <f t="shared" si="1"/>
        <v>-1.4568072639298544</v>
      </c>
      <c r="J61" s="132">
        <f t="shared" si="8"/>
        <v>1.2329980560257898</v>
      </c>
      <c r="K61" s="47">
        <f t="shared" si="9"/>
        <v>-92.93011789317438</v>
      </c>
      <c r="L61" s="61">
        <f t="shared" si="2"/>
        <v>-236.04249944866294</v>
      </c>
      <c r="M61" s="59">
        <f>0.5*ASIN(9.81*C61/$F$4^2)*180/PI()</f>
        <v>3.74528214230028</v>
      </c>
      <c r="N61" s="125"/>
    </row>
    <row r="62" spans="2:13" ht="12.75">
      <c r="B62" s="264"/>
      <c r="C62" s="260"/>
      <c r="D62" s="66"/>
      <c r="E62" s="277"/>
      <c r="F62" s="66"/>
      <c r="G62" s="66"/>
      <c r="H62" s="67"/>
      <c r="I62" s="66"/>
      <c r="J62" s="68"/>
      <c r="K62" s="66"/>
      <c r="L62" s="69"/>
      <c r="M62" s="70"/>
    </row>
    <row r="63" spans="2:13" ht="12.75">
      <c r="B63" s="265"/>
      <c r="C63" s="261"/>
      <c r="D63" s="75"/>
      <c r="E63" s="278"/>
      <c r="F63" s="75"/>
      <c r="G63" s="75"/>
      <c r="H63" s="76"/>
      <c r="I63" s="75"/>
      <c r="J63" s="77"/>
      <c r="K63" s="75"/>
      <c r="L63" s="78"/>
      <c r="M63" s="79"/>
    </row>
  </sheetData>
  <mergeCells count="1">
    <mergeCell ref="J3:L12"/>
  </mergeCells>
  <printOptions/>
  <pageMargins left="0.41" right="0.7480314960629921" top="0.37" bottom="0.33" header="0" footer="0"/>
  <pageSetup horizontalDpi="300" verticalDpi="300" orientation="portrait" paperSize="9" scale="98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B71"/>
  <sheetViews>
    <sheetView showGridLines="0" workbookViewId="0" topLeftCell="A1">
      <selection activeCell="A2" sqref="A2"/>
    </sheetView>
  </sheetViews>
  <sheetFormatPr defaultColWidth="9.75390625" defaultRowHeight="12.75"/>
  <cols>
    <col min="1" max="1" width="4.875" style="0" customWidth="1"/>
    <col min="2" max="2" width="6.75390625" style="0" customWidth="1"/>
    <col min="3" max="3" width="5.125" style="0" customWidth="1"/>
    <col min="4" max="4" width="5.75390625" style="0" customWidth="1"/>
    <col min="5" max="5" width="6.50390625" style="0" customWidth="1"/>
    <col min="6" max="6" width="6.25390625" style="0" customWidth="1"/>
    <col min="7" max="7" width="6.375" style="0" customWidth="1"/>
    <col min="8" max="8" width="7.75390625" style="0" customWidth="1"/>
    <col min="9" max="9" width="7.25390625" style="0" customWidth="1"/>
    <col min="10" max="10" width="8.50390625" style="0" customWidth="1"/>
    <col min="11" max="11" width="7.375" style="3" customWidth="1"/>
    <col min="12" max="12" width="7.125" style="3" customWidth="1"/>
    <col min="13" max="13" width="6.75390625" style="55" customWidth="1"/>
    <col min="14" max="14" width="2.625" style="0" customWidth="1"/>
    <col min="15" max="20" width="6.625" style="0" customWidth="1"/>
    <col min="21" max="81" width="5.625" style="0" customWidth="1"/>
    <col min="82" max="16384" width="9.00390625" style="0" customWidth="1"/>
  </cols>
  <sheetData>
    <row r="2" spans="4:28" ht="13.5" thickBot="1">
      <c r="D2" s="1"/>
      <c r="J2" s="2"/>
      <c r="O2" s="2"/>
      <c r="P2" s="2"/>
      <c r="Q2" s="2"/>
      <c r="R2" s="2"/>
      <c r="S2" s="2"/>
      <c r="T2" s="2"/>
      <c r="U2" s="1"/>
      <c r="V2" s="1"/>
      <c r="W2" s="1"/>
      <c r="X2" s="1"/>
      <c r="Y2" s="1"/>
      <c r="Z2" s="1"/>
      <c r="AA2" s="4"/>
      <c r="AB2" s="4"/>
    </row>
    <row r="3" spans="1:28" ht="12.75">
      <c r="A3" s="5"/>
      <c r="C3" s="6" t="s">
        <v>0</v>
      </c>
      <c r="D3" s="7"/>
      <c r="E3" s="8"/>
      <c r="F3" s="89">
        <v>140</v>
      </c>
      <c r="J3" s="225" t="s">
        <v>17</v>
      </c>
      <c r="K3" s="226"/>
      <c r="L3" s="227"/>
      <c r="Q3" s="2"/>
      <c r="R3" s="2"/>
      <c r="S3" s="2"/>
      <c r="T3" s="2"/>
      <c r="U3" s="1"/>
      <c r="V3" s="1"/>
      <c r="W3" s="1"/>
      <c r="X3" s="1"/>
      <c r="Y3" s="1"/>
      <c r="Z3" s="1"/>
      <c r="AB3" s="4"/>
    </row>
    <row r="4" spans="1:28" ht="12.75">
      <c r="A4" s="5"/>
      <c r="C4" s="50" t="s">
        <v>14</v>
      </c>
      <c r="D4" s="51"/>
      <c r="E4" s="52"/>
      <c r="F4" s="124">
        <f>0.3048*F3</f>
        <v>42.672000000000004</v>
      </c>
      <c r="H4" s="53" t="s">
        <v>52</v>
      </c>
      <c r="J4" s="228"/>
      <c r="K4" s="229"/>
      <c r="L4" s="230"/>
      <c r="Q4" s="2"/>
      <c r="R4" s="2"/>
      <c r="S4" s="2"/>
      <c r="T4" s="2"/>
      <c r="U4" s="1"/>
      <c r="V4" s="1"/>
      <c r="W4" s="1"/>
      <c r="X4" s="1"/>
      <c r="Y4" s="1"/>
      <c r="Z4" s="1"/>
      <c r="AB4" s="4"/>
    </row>
    <row r="5" spans="1:28" ht="12.75">
      <c r="A5" s="5"/>
      <c r="C5" s="11" t="s">
        <v>1</v>
      </c>
      <c r="D5" s="12"/>
      <c r="E5" s="13"/>
      <c r="F5" s="91">
        <v>9.43</v>
      </c>
      <c r="H5" s="54">
        <f>2*F3*COS(F5*PI()/180)*F3*SIN(F5*PI()/180)/32.185*0.3048</f>
        <v>60.00193460708078</v>
      </c>
      <c r="J5" s="231"/>
      <c r="K5" s="229"/>
      <c r="L5" s="230"/>
      <c r="Q5" s="2"/>
      <c r="R5" s="2"/>
      <c r="S5" s="2"/>
      <c r="T5" s="2"/>
      <c r="U5" s="1"/>
      <c r="V5" s="1"/>
      <c r="W5" s="1"/>
      <c r="X5" s="1"/>
      <c r="Y5" s="1"/>
      <c r="Z5" s="1"/>
      <c r="AB5" s="4"/>
    </row>
    <row r="6" spans="1:28" ht="13.5" thickBot="1">
      <c r="A6" s="5"/>
      <c r="C6" s="14" t="s">
        <v>2</v>
      </c>
      <c r="D6" s="15"/>
      <c r="E6" s="16"/>
      <c r="F6" s="80">
        <v>30</v>
      </c>
      <c r="H6" s="176"/>
      <c r="J6" s="231"/>
      <c r="K6" s="229"/>
      <c r="L6" s="230"/>
      <c r="Q6" s="2"/>
      <c r="R6" s="2"/>
      <c r="S6" s="2"/>
      <c r="T6" s="2"/>
      <c r="U6" s="1"/>
      <c r="V6" s="1"/>
      <c r="W6" s="1"/>
      <c r="X6" s="1"/>
      <c r="Y6" s="1"/>
      <c r="Z6" s="1"/>
      <c r="AB6" s="4"/>
    </row>
    <row r="7" spans="3:28" ht="13.5" thickBot="1">
      <c r="C7" s="10"/>
      <c r="D7" s="10"/>
      <c r="E7" s="10"/>
      <c r="F7" s="10"/>
      <c r="H7" s="48"/>
      <c r="J7" s="231"/>
      <c r="K7" s="229"/>
      <c r="L7" s="230"/>
      <c r="Q7" s="2"/>
      <c r="R7" s="2"/>
      <c r="S7" s="2"/>
      <c r="T7" s="2"/>
      <c r="U7" s="1"/>
      <c r="V7" s="1"/>
      <c r="W7" s="1"/>
      <c r="X7" s="1"/>
      <c r="Y7" s="1"/>
      <c r="Z7" s="1"/>
      <c r="AB7" s="4"/>
    </row>
    <row r="8" spans="3:28" ht="12.75">
      <c r="C8" s="6" t="s">
        <v>3</v>
      </c>
      <c r="D8" s="7"/>
      <c r="E8" s="18"/>
      <c r="F8" s="19">
        <f>F5+F6</f>
        <v>39.43</v>
      </c>
      <c r="H8" s="53" t="s">
        <v>46</v>
      </c>
      <c r="J8" s="231"/>
      <c r="K8" s="229"/>
      <c r="L8" s="230"/>
      <c r="Q8" s="2"/>
      <c r="R8" s="2"/>
      <c r="S8" s="2"/>
      <c r="T8" s="2"/>
      <c r="U8" s="1"/>
      <c r="V8" s="1"/>
      <c r="W8" s="1"/>
      <c r="X8" s="1"/>
      <c r="Y8" s="1"/>
      <c r="Z8" s="1"/>
      <c r="AB8" s="4"/>
    </row>
    <row r="9" spans="1:28" ht="12.75">
      <c r="A9" s="5"/>
      <c r="C9" s="20" t="s">
        <v>4</v>
      </c>
      <c r="D9" s="21"/>
      <c r="E9" s="13"/>
      <c r="F9" s="22">
        <f>F3*COS(F8*3.14159/180)</f>
        <v>108.1362089726492</v>
      </c>
      <c r="H9" s="54">
        <f>H5/COS(F6/180*PI())</f>
        <v>69.28426619459282</v>
      </c>
      <c r="J9" s="231"/>
      <c r="K9" s="229"/>
      <c r="L9" s="230"/>
      <c r="Q9" s="2"/>
      <c r="R9" s="2"/>
      <c r="S9" s="2"/>
      <c r="T9" s="2"/>
      <c r="U9" s="1"/>
      <c r="V9" s="1"/>
      <c r="W9" s="1"/>
      <c r="X9" s="1"/>
      <c r="Y9" s="1"/>
      <c r="Z9" s="1"/>
      <c r="AB9" s="4"/>
    </row>
    <row r="10" spans="1:28" ht="13.5" thickBot="1">
      <c r="A10" s="5"/>
      <c r="C10" s="14" t="s">
        <v>5</v>
      </c>
      <c r="D10" s="15"/>
      <c r="E10" s="24"/>
      <c r="F10" s="17">
        <f>F3*SIN(F8*3.14159/180)</f>
        <v>88.91884113630555</v>
      </c>
      <c r="H10" s="49"/>
      <c r="J10" s="231"/>
      <c r="K10" s="229"/>
      <c r="L10" s="230"/>
      <c r="Q10" s="2"/>
      <c r="R10" s="2"/>
      <c r="S10" s="2"/>
      <c r="T10" s="2"/>
      <c r="U10" s="1"/>
      <c r="V10" s="1"/>
      <c r="W10" s="1"/>
      <c r="X10" s="1"/>
      <c r="Y10" s="1"/>
      <c r="Z10" s="1"/>
      <c r="AB10" s="4"/>
    </row>
    <row r="11" spans="1:28" ht="13.5" thickBot="1">
      <c r="A11" s="5"/>
      <c r="C11" s="10"/>
      <c r="D11" s="10"/>
      <c r="E11" s="10"/>
      <c r="F11" s="10"/>
      <c r="H11" s="49"/>
      <c r="J11" s="231"/>
      <c r="K11" s="229"/>
      <c r="L11" s="230"/>
      <c r="Q11" s="2"/>
      <c r="R11" s="2"/>
      <c r="S11" s="2"/>
      <c r="T11" s="2"/>
      <c r="U11" s="1"/>
      <c r="V11" s="1"/>
      <c r="W11" s="1"/>
      <c r="X11" s="1"/>
      <c r="Y11" s="1"/>
      <c r="Z11" s="1"/>
      <c r="AB11" s="4"/>
    </row>
    <row r="12" spans="1:28" ht="13.5" thickBot="1">
      <c r="A12" s="5"/>
      <c r="C12" s="25" t="s">
        <v>6</v>
      </c>
      <c r="D12" s="26"/>
      <c r="E12" s="27"/>
      <c r="F12" s="28">
        <v>2</v>
      </c>
      <c r="H12" s="49"/>
      <c r="J12" s="232"/>
      <c r="K12" s="233"/>
      <c r="L12" s="234"/>
      <c r="Q12" s="2"/>
      <c r="R12" s="2"/>
      <c r="S12" s="2"/>
      <c r="T12" s="2"/>
      <c r="U12" s="1"/>
      <c r="V12" s="1"/>
      <c r="W12" s="1"/>
      <c r="X12" s="1"/>
      <c r="Y12" s="1"/>
      <c r="Z12" s="1"/>
      <c r="AB12" s="4"/>
    </row>
    <row r="13" spans="1:28" ht="12.75">
      <c r="A13" s="5"/>
      <c r="B13" s="10"/>
      <c r="C13" s="10"/>
      <c r="D13" s="10"/>
      <c r="E13" s="10"/>
      <c r="F13" s="10"/>
      <c r="G13" s="10"/>
      <c r="H13" s="9"/>
      <c r="I13" s="9"/>
      <c r="J13" s="9"/>
      <c r="K13" s="29"/>
      <c r="L13" s="30"/>
      <c r="M13" s="56"/>
      <c r="N13" s="23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B13" s="4"/>
    </row>
    <row r="14" spans="1:28" ht="13.5" thickBot="1">
      <c r="A14" s="5"/>
      <c r="B14" s="10"/>
      <c r="C14" s="10"/>
      <c r="D14" s="10"/>
      <c r="E14" s="10"/>
      <c r="F14" s="10"/>
      <c r="G14" s="10"/>
      <c r="H14" s="9"/>
      <c r="I14" s="9"/>
      <c r="J14" s="9"/>
      <c r="K14" s="29"/>
      <c r="L14" s="30"/>
      <c r="M14" s="56"/>
      <c r="N14" s="23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B14" s="4"/>
    </row>
    <row r="15" spans="1:28" ht="24" thickBot="1">
      <c r="A15" s="4"/>
      <c r="B15" s="57" t="s">
        <v>7</v>
      </c>
      <c r="C15" s="31" t="s">
        <v>47</v>
      </c>
      <c r="D15" s="32" t="s">
        <v>49</v>
      </c>
      <c r="E15" s="266" t="s">
        <v>8</v>
      </c>
      <c r="F15" s="32" t="s">
        <v>9</v>
      </c>
      <c r="G15" s="32" t="s">
        <v>93</v>
      </c>
      <c r="H15" s="32" t="s">
        <v>11</v>
      </c>
      <c r="I15" s="32" t="s">
        <v>12</v>
      </c>
      <c r="J15" s="32" t="s">
        <v>13</v>
      </c>
      <c r="K15" s="32" t="s">
        <v>92</v>
      </c>
      <c r="L15" s="33" t="s">
        <v>51</v>
      </c>
      <c r="M15" s="60" t="s">
        <v>15</v>
      </c>
      <c r="N15" s="8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B15" s="4"/>
    </row>
    <row r="16" spans="1:28" ht="12.75">
      <c r="A16" s="4"/>
      <c r="B16" s="167">
        <f>C16/COS($F$6/180*PI())</f>
        <v>0</v>
      </c>
      <c r="C16" s="168">
        <v>0</v>
      </c>
      <c r="D16" s="34">
        <f aca="true" t="shared" si="0" ref="D16:D61">C16/0.9144</f>
        <v>0</v>
      </c>
      <c r="E16" s="222">
        <f>$F$3</f>
        <v>140</v>
      </c>
      <c r="F16" s="34">
        <f>F9</f>
        <v>108.1362089726492</v>
      </c>
      <c r="G16" s="34">
        <f>$F$10</f>
        <v>88.91884113630555</v>
      </c>
      <c r="H16" s="35">
        <f>ATAN(G16/F16)*(180/3.14159)</f>
        <v>39.42999999999999</v>
      </c>
      <c r="I16" s="34">
        <f aca="true" t="shared" si="1" ref="I16:I61">1/TAN(H16/180*PI())</f>
        <v>1.2161211219242045</v>
      </c>
      <c r="J16" s="36">
        <f>0</f>
        <v>0</v>
      </c>
      <c r="K16" s="34">
        <v>0</v>
      </c>
      <c r="L16" s="37">
        <f aca="true" t="shared" si="2" ref="L16:L61">K16*2.54</f>
        <v>0</v>
      </c>
      <c r="M16" s="58"/>
      <c r="N16" s="8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B16" s="4"/>
    </row>
    <row r="17" spans="1:28" ht="12.75">
      <c r="A17" s="4"/>
      <c r="B17" s="169">
        <f aca="true" t="shared" si="3" ref="B17:B61">C17/COS($F$6/180*PI())</f>
        <v>2.309401076758503</v>
      </c>
      <c r="C17" s="170">
        <f>C16+$F$12</f>
        <v>2</v>
      </c>
      <c r="D17" s="38">
        <f>C17/0.9144027</f>
        <v>2.1872201383482355</v>
      </c>
      <c r="E17" s="223">
        <f>SQRT(F17^2+G17^2)</f>
        <v>138.76779886461856</v>
      </c>
      <c r="F17" s="38">
        <f>F16</f>
        <v>108.1362089726492</v>
      </c>
      <c r="G17" s="38">
        <f>$F$10-32.185*J17</f>
        <v>86.96586865405745</v>
      </c>
      <c r="H17" s="39">
        <f>ATAN(G17/F17)*(180/PI())</f>
        <v>38.80711921019579</v>
      </c>
      <c r="I17" s="38">
        <f t="shared" si="1"/>
        <v>1.2434327471942528</v>
      </c>
      <c r="J17" s="40">
        <f>D17*3/$F$9</f>
        <v>0.0606795862124623</v>
      </c>
      <c r="K17" s="38">
        <f>12*($F$10*J17-0.5*32.185*J17^2)-TAN($F$6*PI()/180)*D17*36</f>
        <v>18.575151583585786</v>
      </c>
      <c r="L17" s="41">
        <f>K17*2.54</f>
        <v>47.1808850223079</v>
      </c>
      <c r="M17" s="58"/>
      <c r="N17" s="8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169">
        <f t="shared" si="3"/>
        <v>4.618802153517006</v>
      </c>
      <c r="C18" s="170">
        <f aca="true" t="shared" si="4" ref="C18:C61">C17+$F$12</f>
        <v>4</v>
      </c>
      <c r="D18" s="38">
        <f t="shared" si="0"/>
        <v>4.374453193350831</v>
      </c>
      <c r="E18" s="223">
        <f>SQRT(F18^2+G18^2)</f>
        <v>137.55228186233992</v>
      </c>
      <c r="F18" s="38">
        <f aca="true" t="shared" si="5" ref="F18:F61">F17</f>
        <v>108.1362089726492</v>
      </c>
      <c r="G18" s="38">
        <f aca="true" t="shared" si="6" ref="G18:G61">$F$10-32.185*J18</f>
        <v>85.01288463850729</v>
      </c>
      <c r="H18" s="39">
        <f aca="true" t="shared" si="7" ref="H18:H61">ATAN(G18/F18)*(180/PI())</f>
        <v>38.173184074247594</v>
      </c>
      <c r="I18" s="38">
        <f t="shared" si="1"/>
        <v>1.2719978792916764</v>
      </c>
      <c r="J18" s="40">
        <f aca="true" t="shared" si="8" ref="J18:J61">D18*3/$F$9</f>
        <v>0.12135953076893767</v>
      </c>
      <c r="K18" s="38">
        <f aca="true" t="shared" si="9" ref="K18:K61">12*($F$10*J18-0.5*32.185*J18^2)-TAN($F$6*PI()/180)*D18*36</f>
        <v>35.728333520590226</v>
      </c>
      <c r="L18" s="41">
        <f t="shared" si="2"/>
        <v>90.74996714229917</v>
      </c>
      <c r="M18" s="58"/>
      <c r="N18" s="88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"/>
      <c r="AB18" s="4"/>
    </row>
    <row r="19" spans="1:28" ht="12.75">
      <c r="A19" s="4"/>
      <c r="B19" s="169">
        <f t="shared" si="3"/>
        <v>6.928203230275509</v>
      </c>
      <c r="C19" s="170">
        <f t="shared" si="4"/>
        <v>6</v>
      </c>
      <c r="D19" s="38">
        <f t="shared" si="0"/>
        <v>6.561679790026247</v>
      </c>
      <c r="E19" s="223">
        <f>SQRT(F19^2+G19^2)</f>
        <v>136.3539062162391</v>
      </c>
      <c r="F19" s="38">
        <f t="shared" si="5"/>
        <v>108.1362089726492</v>
      </c>
      <c r="G19" s="38">
        <f t="shared" si="6"/>
        <v>83.05990638960816</v>
      </c>
      <c r="H19" s="39">
        <f t="shared" si="7"/>
        <v>37.528027729033994</v>
      </c>
      <c r="I19" s="38">
        <f t="shared" si="1"/>
        <v>1.301906222545158</v>
      </c>
      <c r="J19" s="40">
        <f t="shared" si="8"/>
        <v>0.1820392961534065</v>
      </c>
      <c r="K19" s="38">
        <f t="shared" si="9"/>
        <v>51.459387565890296</v>
      </c>
      <c r="L19" s="41">
        <f t="shared" si="2"/>
        <v>130.70684441736137</v>
      </c>
      <c r="M19" s="58"/>
      <c r="N19" s="88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"/>
      <c r="AB19" s="4"/>
    </row>
    <row r="20" spans="1:28" ht="12.75">
      <c r="A20" s="4"/>
      <c r="B20" s="169">
        <f t="shared" si="3"/>
        <v>9.237604307034012</v>
      </c>
      <c r="C20" s="170">
        <f t="shared" si="4"/>
        <v>8</v>
      </c>
      <c r="D20" s="38">
        <f t="shared" si="0"/>
        <v>8.748906386701663</v>
      </c>
      <c r="E20" s="223">
        <f>SQRT(F20^2+G20^2)</f>
        <v>135.1731241164404</v>
      </c>
      <c r="F20" s="38">
        <f t="shared" si="5"/>
        <v>108.1362089726492</v>
      </c>
      <c r="G20" s="38">
        <f t="shared" si="6"/>
        <v>81.10692814070903</v>
      </c>
      <c r="H20" s="39">
        <f t="shared" si="7"/>
        <v>36.87151561081848</v>
      </c>
      <c r="I20" s="38">
        <f t="shared" si="1"/>
        <v>1.3332548951311312</v>
      </c>
      <c r="J20" s="40">
        <f t="shared" si="8"/>
        <v>0.24271906153787534</v>
      </c>
      <c r="K20" s="38">
        <f t="shared" si="9"/>
        <v>65.76836646786032</v>
      </c>
      <c r="L20" s="41">
        <f t="shared" si="2"/>
        <v>167.0516508283652</v>
      </c>
      <c r="M20" s="58"/>
      <c r="N20" s="88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"/>
      <c r="AB20" s="4"/>
    </row>
    <row r="21" spans="1:28" ht="12.75">
      <c r="A21" s="4"/>
      <c r="B21" s="169">
        <f t="shared" si="3"/>
        <v>11.547005383792515</v>
      </c>
      <c r="C21" s="258">
        <f t="shared" si="4"/>
        <v>10</v>
      </c>
      <c r="D21" s="43">
        <f t="shared" si="0"/>
        <v>10.936132983377078</v>
      </c>
      <c r="E21" s="224">
        <f>SQRT(F21^2+G21^2)</f>
        <v>134.01040062044294</v>
      </c>
      <c r="F21" s="43">
        <f t="shared" si="5"/>
        <v>108.1362089726492</v>
      </c>
      <c r="G21" s="43">
        <f t="shared" si="6"/>
        <v>79.1539498918099</v>
      </c>
      <c r="H21" s="44">
        <f t="shared" si="7"/>
        <v>36.20352222750056</v>
      </c>
      <c r="I21" s="43">
        <f t="shared" si="1"/>
        <v>1.366150509487564</v>
      </c>
      <c r="J21" s="45">
        <f t="shared" si="8"/>
        <v>0.30339882692234416</v>
      </c>
      <c r="K21" s="43">
        <f t="shared" si="9"/>
        <v>78.65527022650025</v>
      </c>
      <c r="L21" s="46">
        <f t="shared" si="2"/>
        <v>199.78438637531065</v>
      </c>
      <c r="M21" s="58">
        <f>0.5*ASIN(9.81*C21/$F$4^2)*180/PI()</f>
        <v>1.5441374580903764</v>
      </c>
      <c r="N21" s="125"/>
      <c r="O21">
        <f>ASIN(9.81*C21*COS($F$6/180*PI())/(2*$F$4^2*COS(($F$5+$F$6)/180*PI())))*180/PI()</f>
        <v>1.730730433102969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2.75">
      <c r="B22" s="169">
        <f t="shared" si="3"/>
        <v>13.856406460551018</v>
      </c>
      <c r="C22" s="170">
        <f t="shared" si="4"/>
        <v>12</v>
      </c>
      <c r="D22" s="38">
        <f t="shared" si="0"/>
        <v>13.123359580052494</v>
      </c>
      <c r="E22" s="223">
        <f>SQRT(F22^2+G22^2)</f>
        <v>132.8662098262232</v>
      </c>
      <c r="F22" s="38">
        <f t="shared" si="5"/>
        <v>108.1362089726492</v>
      </c>
      <c r="G22" s="38">
        <f t="shared" si="6"/>
        <v>77.20097164291077</v>
      </c>
      <c r="H22" s="39">
        <f t="shared" si="7"/>
        <v>35.52393014548422</v>
      </c>
      <c r="I22" s="38">
        <f t="shared" si="1"/>
        <v>1.400710466091383</v>
      </c>
      <c r="J22" s="40">
        <f t="shared" si="8"/>
        <v>0.364078592306813</v>
      </c>
      <c r="K22" s="38">
        <f t="shared" si="9"/>
        <v>90.1200988418102</v>
      </c>
      <c r="L22" s="41">
        <f t="shared" si="2"/>
        <v>228.90505105819793</v>
      </c>
      <c r="M22" s="58"/>
      <c r="N22" s="88"/>
      <c r="AA22" s="4"/>
      <c r="AB22" s="4"/>
    </row>
    <row r="23" spans="2:28" ht="12.75">
      <c r="B23" s="169">
        <f t="shared" si="3"/>
        <v>16.16580753730952</v>
      </c>
      <c r="C23" s="170">
        <f t="shared" si="4"/>
        <v>14</v>
      </c>
      <c r="D23" s="38">
        <f t="shared" si="0"/>
        <v>15.31058617672791</v>
      </c>
      <c r="E23" s="223">
        <f>SQRT(F23^2+G23^2)</f>
        <v>131.74103461261294</v>
      </c>
      <c r="F23" s="38">
        <f t="shared" si="5"/>
        <v>108.1362089726492</v>
      </c>
      <c r="G23" s="38">
        <f t="shared" si="6"/>
        <v>75.24799339401164</v>
      </c>
      <c r="H23" s="39">
        <f t="shared" si="7"/>
        <v>34.83263087305005</v>
      </c>
      <c r="I23" s="38">
        <f t="shared" si="1"/>
        <v>1.4370643534164307</v>
      </c>
      <c r="J23" s="40">
        <f t="shared" si="8"/>
        <v>0.42475835769128184</v>
      </c>
      <c r="K23" s="38">
        <f t="shared" si="9"/>
        <v>100.16285231379015</v>
      </c>
      <c r="L23" s="41">
        <f t="shared" si="2"/>
        <v>254.413644877027</v>
      </c>
      <c r="M23" s="58"/>
      <c r="N23" s="8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169">
        <f t="shared" si="3"/>
        <v>18.475208614068023</v>
      </c>
      <c r="C24" s="170">
        <f t="shared" si="4"/>
        <v>16</v>
      </c>
      <c r="D24" s="38">
        <f t="shared" si="0"/>
        <v>17.497812773403325</v>
      </c>
      <c r="E24" s="223">
        <f>SQRT(F24^2+G24^2)</f>
        <v>130.6353663297146</v>
      </c>
      <c r="F24" s="38">
        <f t="shared" si="5"/>
        <v>108.1362089726492</v>
      </c>
      <c r="G24" s="38">
        <f t="shared" si="6"/>
        <v>73.2950151451125</v>
      </c>
      <c r="H24" s="39">
        <f t="shared" si="7"/>
        <v>34.12952578343043</v>
      </c>
      <c r="I24" s="38">
        <f t="shared" si="1"/>
        <v>1.475355571706434</v>
      </c>
      <c r="J24" s="40">
        <f t="shared" si="8"/>
        <v>0.4854381230757507</v>
      </c>
      <c r="K24" s="38">
        <f t="shared" si="9"/>
        <v>108.78353064243998</v>
      </c>
      <c r="L24" s="41">
        <f t="shared" si="2"/>
        <v>276.31016783179757</v>
      </c>
      <c r="M24" s="58"/>
      <c r="N24" s="8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4"/>
      <c r="B25" s="169">
        <f t="shared" si="3"/>
        <v>20.784609690826525</v>
      </c>
      <c r="C25" s="170">
        <f t="shared" si="4"/>
        <v>18</v>
      </c>
      <c r="D25" s="38">
        <f t="shared" si="0"/>
        <v>19.68503937007874</v>
      </c>
      <c r="E25" s="223">
        <f>SQRT(F25^2+G25^2)</f>
        <v>129.54970443608556</v>
      </c>
      <c r="F25" s="38">
        <f t="shared" si="5"/>
        <v>108.1362089726492</v>
      </c>
      <c r="G25" s="38">
        <f t="shared" si="6"/>
        <v>71.34203689621339</v>
      </c>
      <c r="H25" s="39">
        <f t="shared" si="7"/>
        <v>33.41452707564472</v>
      </c>
      <c r="I25" s="38">
        <f t="shared" si="1"/>
        <v>1.5157432234513162</v>
      </c>
      <c r="J25" s="40">
        <f t="shared" si="8"/>
        <v>0.5461178884602195</v>
      </c>
      <c r="K25" s="38">
        <f t="shared" si="9"/>
        <v>115.9821338277597</v>
      </c>
      <c r="L25" s="41">
        <f t="shared" si="2"/>
        <v>294.59461992250965</v>
      </c>
      <c r="M25" s="58"/>
      <c r="N25" s="8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4"/>
      <c r="B26" s="169">
        <f t="shared" si="3"/>
        <v>23.09401076758503</v>
      </c>
      <c r="C26" s="258">
        <f t="shared" si="4"/>
        <v>20</v>
      </c>
      <c r="D26" s="43">
        <f t="shared" si="0"/>
        <v>21.872265966754156</v>
      </c>
      <c r="E26" s="224">
        <f>SQRT(F26^2+G26^2)</f>
        <v>128.48455607946377</v>
      </c>
      <c r="F26" s="43">
        <f t="shared" si="5"/>
        <v>108.1362089726492</v>
      </c>
      <c r="G26" s="43">
        <f t="shared" si="6"/>
        <v>69.38905864731424</v>
      </c>
      <c r="H26" s="44">
        <f t="shared" si="7"/>
        <v>32.68755877054122</v>
      </c>
      <c r="I26" s="43">
        <f t="shared" si="1"/>
        <v>1.5584043231120372</v>
      </c>
      <c r="J26" s="45">
        <f t="shared" si="8"/>
        <v>0.6067976538446883</v>
      </c>
      <c r="K26" s="43">
        <f t="shared" si="9"/>
        <v>121.75866186974952</v>
      </c>
      <c r="L26" s="46">
        <f t="shared" si="2"/>
        <v>309.2670011491638</v>
      </c>
      <c r="M26" s="58">
        <f>0.5*ASIN(9.81*C26/$F$4^2)*180/PI()</f>
        <v>3.092784009593798</v>
      </c>
      <c r="N26" s="125"/>
      <c r="O26">
        <f>ASIN(9.81*C26*COS($F$6/180*PI())/(2*$F$4^2*COS(($F$5+$F$6)/180*PI())))*180/PI()</f>
        <v>3.463042614418919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4"/>
      <c r="B27" s="169">
        <f t="shared" si="3"/>
        <v>25.40341184434353</v>
      </c>
      <c r="C27" s="170">
        <f t="shared" si="4"/>
        <v>22</v>
      </c>
      <c r="D27" s="38">
        <f t="shared" si="0"/>
        <v>24.059492563429572</v>
      </c>
      <c r="E27" s="223">
        <f aca="true" t="shared" si="10" ref="E27:E60">SQRT(F27^2+G27^2)</f>
        <v>127.44043561789158</v>
      </c>
      <c r="F27" s="38">
        <f t="shared" si="5"/>
        <v>108.1362089726492</v>
      </c>
      <c r="G27" s="38">
        <f t="shared" si="6"/>
        <v>67.43608039841513</v>
      </c>
      <c r="H27" s="39">
        <f t="shared" si="7"/>
        <v>31.94855773882804</v>
      </c>
      <c r="I27" s="38">
        <f t="shared" si="1"/>
        <v>1.6035363908129898</v>
      </c>
      <c r="J27" s="40">
        <f t="shared" si="8"/>
        <v>0.6674774192291572</v>
      </c>
      <c r="K27" s="38">
        <f t="shared" si="9"/>
        <v>126.11311476840928</v>
      </c>
      <c r="L27" s="41">
        <f t="shared" si="2"/>
        <v>320.32731151175955</v>
      </c>
      <c r="M27" s="58"/>
      <c r="N27" s="8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4"/>
      <c r="B28" s="169">
        <f t="shared" si="3"/>
        <v>27.712812921102035</v>
      </c>
      <c r="C28" s="170">
        <f t="shared" si="4"/>
        <v>24</v>
      </c>
      <c r="D28" s="38">
        <f t="shared" si="0"/>
        <v>26.246719160104988</v>
      </c>
      <c r="E28" s="223">
        <f t="shared" si="10"/>
        <v>126.41786407822434</v>
      </c>
      <c r="F28" s="38">
        <f t="shared" si="5"/>
        <v>108.1362089726492</v>
      </c>
      <c r="G28" s="38">
        <f t="shared" si="6"/>
        <v>65.48310214951599</v>
      </c>
      <c r="H28" s="39">
        <f t="shared" si="7"/>
        <v>31.197474757156108</v>
      </c>
      <c r="I28" s="38">
        <f t="shared" si="1"/>
        <v>1.651360510162521</v>
      </c>
      <c r="J28" s="40">
        <f t="shared" si="8"/>
        <v>0.728157184613626</v>
      </c>
      <c r="K28" s="38">
        <f t="shared" si="9"/>
        <v>129.04549252373897</v>
      </c>
      <c r="L28" s="41">
        <f t="shared" si="2"/>
        <v>327.77555101029697</v>
      </c>
      <c r="M28" s="58"/>
      <c r="N28" s="8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4"/>
      <c r="B29" s="169">
        <f t="shared" si="3"/>
        <v>30.022213997860536</v>
      </c>
      <c r="C29" s="170">
        <f t="shared" si="4"/>
        <v>26</v>
      </c>
      <c r="D29" s="38">
        <f t="shared" si="0"/>
        <v>28.433945756780403</v>
      </c>
      <c r="E29" s="223">
        <f t="shared" si="10"/>
        <v>125.41736854919333</v>
      </c>
      <c r="F29" s="38">
        <f t="shared" si="5"/>
        <v>108.1362089726492</v>
      </c>
      <c r="G29" s="38">
        <f t="shared" si="6"/>
        <v>63.53012390061686</v>
      </c>
      <c r="H29" s="39">
        <f t="shared" si="7"/>
        <v>30.43427558755085</v>
      </c>
      <c r="I29" s="38">
        <f t="shared" si="1"/>
        <v>1.7021249500758369</v>
      </c>
      <c r="J29" s="40">
        <f t="shared" si="8"/>
        <v>0.7888369499980948</v>
      </c>
      <c r="K29" s="38">
        <f t="shared" si="9"/>
        <v>130.55579513573866</v>
      </c>
      <c r="L29" s="41">
        <f t="shared" si="2"/>
        <v>331.6117196447762</v>
      </c>
      <c r="M29" s="58"/>
      <c r="N29" s="88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4"/>
      <c r="B30" s="169">
        <f t="shared" si="3"/>
        <v>32.33161507461904</v>
      </c>
      <c r="C30" s="170">
        <f t="shared" si="4"/>
        <v>28</v>
      </c>
      <c r="D30" s="38">
        <f t="shared" si="0"/>
        <v>30.62117235345582</v>
      </c>
      <c r="E30" s="223">
        <f t="shared" si="10"/>
        <v>124.43948150643074</v>
      </c>
      <c r="F30" s="38">
        <f t="shared" si="5"/>
        <v>108.1362089726492</v>
      </c>
      <c r="G30" s="38">
        <f t="shared" si="6"/>
        <v>61.57714565171773</v>
      </c>
      <c r="H30" s="39">
        <f t="shared" si="7"/>
        <v>29.658942074676673</v>
      </c>
      <c r="I30" s="38">
        <f t="shared" si="1"/>
        <v>1.756109475815443</v>
      </c>
      <c r="J30" s="40">
        <f t="shared" si="8"/>
        <v>0.8495167153825637</v>
      </c>
      <c r="K30" s="38">
        <f t="shared" si="9"/>
        <v>130.6440226044083</v>
      </c>
      <c r="L30" s="41">
        <f t="shared" si="2"/>
        <v>331.8358174151971</v>
      </c>
      <c r="M30" s="58"/>
      <c r="N30" s="8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4"/>
      <c r="B31" s="169">
        <f t="shared" si="3"/>
        <v>34.64101615137754</v>
      </c>
      <c r="C31" s="258">
        <f t="shared" si="4"/>
        <v>30</v>
      </c>
      <c r="D31" s="43">
        <f t="shared" si="0"/>
        <v>32.808398950131235</v>
      </c>
      <c r="E31" s="224">
        <f t="shared" si="10"/>
        <v>123.48474006716698</v>
      </c>
      <c r="F31" s="43">
        <f t="shared" si="5"/>
        <v>108.1362089726492</v>
      </c>
      <c r="G31" s="43">
        <f t="shared" si="6"/>
        <v>59.6241674028186</v>
      </c>
      <c r="H31" s="44">
        <f t="shared" si="7"/>
        <v>28.87147325457195</v>
      </c>
      <c r="I31" s="43">
        <f t="shared" si="1"/>
        <v>1.8136305072754324</v>
      </c>
      <c r="J31" s="45">
        <f t="shared" si="8"/>
        <v>0.9101964807670325</v>
      </c>
      <c r="K31" s="43">
        <f t="shared" si="9"/>
        <v>129.3101749297481</v>
      </c>
      <c r="L31" s="46">
        <f t="shared" si="2"/>
        <v>328.4478443215601</v>
      </c>
      <c r="M31" s="58">
        <f>0.5*ASIN(9.81*C31/$F$4^2)*180/PI()</f>
        <v>4.650568655503077</v>
      </c>
      <c r="N31" s="125"/>
      <c r="O31">
        <f>ASIN(9.81*C31*COS($F$6/180*PI())/(2*$F$4^2*COS(($F$5+$F$6)/180*PI())))*180/PI()</f>
        <v>5.1985313502370225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4"/>
      <c r="B32" s="169">
        <f t="shared" si="3"/>
        <v>36.95041722813605</v>
      </c>
      <c r="C32" s="170">
        <f t="shared" si="4"/>
        <v>32</v>
      </c>
      <c r="D32" s="38">
        <f t="shared" si="0"/>
        <v>34.99562554680665</v>
      </c>
      <c r="E32" s="223">
        <f t="shared" si="10"/>
        <v>122.55368517267695</v>
      </c>
      <c r="F32" s="38">
        <f t="shared" si="5"/>
        <v>108.1362089726492</v>
      </c>
      <c r="G32" s="38">
        <f t="shared" si="6"/>
        <v>57.67118915391947</v>
      </c>
      <c r="H32" s="39">
        <f t="shared" si="7"/>
        <v>28.071886467617453</v>
      </c>
      <c r="I32" s="38">
        <f t="shared" si="1"/>
        <v>1.8750473253472013</v>
      </c>
      <c r="J32" s="40">
        <f t="shared" si="8"/>
        <v>0.9708762461515014</v>
      </c>
      <c r="K32" s="38">
        <f t="shared" si="9"/>
        <v>126.55425211175736</v>
      </c>
      <c r="L32" s="41">
        <f t="shared" si="2"/>
        <v>321.44780036386373</v>
      </c>
      <c r="M32" s="58"/>
      <c r="N32" s="88"/>
      <c r="AA32" s="4"/>
      <c r="AB32" s="4"/>
    </row>
    <row r="33" spans="1:14" ht="12.75">
      <c r="A33" s="4"/>
      <c r="B33" s="169">
        <f t="shared" si="3"/>
        <v>39.25981830489455</v>
      </c>
      <c r="C33" s="170">
        <f t="shared" si="4"/>
        <v>34</v>
      </c>
      <c r="D33" s="38">
        <f t="shared" si="0"/>
        <v>37.182852143482066</v>
      </c>
      <c r="E33" s="223">
        <f t="shared" si="10"/>
        <v>121.64686069698958</v>
      </c>
      <c r="F33" s="38">
        <f t="shared" si="5"/>
        <v>108.1362089726492</v>
      </c>
      <c r="G33" s="38">
        <f t="shared" si="6"/>
        <v>55.71821090502034</v>
      </c>
      <c r="H33" s="39">
        <f t="shared" si="7"/>
        <v>27.260218467613154</v>
      </c>
      <c r="I33" s="38">
        <f t="shared" si="1"/>
        <v>1.9407695835205983</v>
      </c>
      <c r="J33" s="40">
        <f t="shared" si="8"/>
        <v>1.03155601153597</v>
      </c>
      <c r="K33" s="38">
        <f t="shared" si="9"/>
        <v>122.37625415043692</v>
      </c>
      <c r="L33" s="41">
        <f t="shared" si="2"/>
        <v>310.8356855421098</v>
      </c>
      <c r="M33" s="58"/>
      <c r="N33" s="88"/>
    </row>
    <row r="34" spans="2:14" ht="12.75">
      <c r="B34" s="169">
        <f t="shared" si="3"/>
        <v>41.56921938165305</v>
      </c>
      <c r="C34" s="170">
        <f t="shared" si="4"/>
        <v>36</v>
      </c>
      <c r="D34" s="38">
        <f t="shared" si="0"/>
        <v>39.37007874015748</v>
      </c>
      <c r="E34" s="223">
        <f t="shared" si="10"/>
        <v>120.76481248088493</v>
      </c>
      <c r="F34" s="38">
        <f t="shared" si="5"/>
        <v>108.1362089726492</v>
      </c>
      <c r="G34" s="38">
        <f t="shared" si="6"/>
        <v>53.76523265612121</v>
      </c>
      <c r="H34" s="39">
        <f t="shared" si="7"/>
        <v>26.436526517949627</v>
      </c>
      <c r="I34" s="38">
        <f t="shared" si="1"/>
        <v>2.011266456601817</v>
      </c>
      <c r="J34" s="40">
        <f t="shared" si="8"/>
        <v>1.092235776920439</v>
      </c>
      <c r="K34" s="38">
        <f t="shared" si="9"/>
        <v>116.7761810457863</v>
      </c>
      <c r="L34" s="41">
        <f t="shared" si="2"/>
        <v>296.6114998562972</v>
      </c>
      <c r="M34" s="58"/>
      <c r="N34" s="88"/>
    </row>
    <row r="35" spans="2:14" ht="12.75">
      <c r="B35" s="169">
        <f t="shared" si="3"/>
        <v>43.878620458411554</v>
      </c>
      <c r="C35" s="170">
        <f t="shared" si="4"/>
        <v>38</v>
      </c>
      <c r="D35" s="38">
        <f t="shared" si="0"/>
        <v>41.5573053368329</v>
      </c>
      <c r="E35" s="223">
        <f t="shared" si="10"/>
        <v>119.9080872907877</v>
      </c>
      <c r="F35" s="38">
        <f t="shared" si="5"/>
        <v>108.1362089726492</v>
      </c>
      <c r="G35" s="38">
        <f t="shared" si="6"/>
        <v>51.812254407222085</v>
      </c>
      <c r="H35" s="39">
        <f t="shared" si="7"/>
        <v>25.600889464988807</v>
      </c>
      <c r="I35" s="38">
        <f t="shared" si="1"/>
        <v>2.087077858507082</v>
      </c>
      <c r="J35" s="40">
        <f t="shared" si="8"/>
        <v>1.1529155423049078</v>
      </c>
      <c r="K35" s="38">
        <f t="shared" si="9"/>
        <v>109.75403279780573</v>
      </c>
      <c r="L35" s="41">
        <f t="shared" si="2"/>
        <v>278.77524330642655</v>
      </c>
      <c r="M35" s="58"/>
      <c r="N35" s="88"/>
    </row>
    <row r="36" spans="2:15" ht="12.75">
      <c r="B36" s="169">
        <f t="shared" si="3"/>
        <v>46.18802153517006</v>
      </c>
      <c r="C36" s="258">
        <f t="shared" si="4"/>
        <v>40</v>
      </c>
      <c r="D36" s="43">
        <f t="shared" si="0"/>
        <v>43.74453193350831</v>
      </c>
      <c r="E36" s="224">
        <f t="shared" si="10"/>
        <v>119.07723170282542</v>
      </c>
      <c r="F36" s="43">
        <f t="shared" si="5"/>
        <v>108.1362089726492</v>
      </c>
      <c r="G36" s="43">
        <f t="shared" si="6"/>
        <v>49.859276158322956</v>
      </c>
      <c r="H36" s="44">
        <f t="shared" si="7"/>
        <v>24.753408777932847</v>
      </c>
      <c r="I36" s="43">
        <f t="shared" si="1"/>
        <v>2.168828296449269</v>
      </c>
      <c r="J36" s="45">
        <f t="shared" si="8"/>
        <v>1.2135953076893766</v>
      </c>
      <c r="K36" s="43">
        <f t="shared" si="9"/>
        <v>101.3098094064951</v>
      </c>
      <c r="L36" s="46">
        <f t="shared" si="2"/>
        <v>257.3269158924976</v>
      </c>
      <c r="M36" s="58">
        <f>0.5*ASIN(9.81*C36/$F$4^2)*180/PI()</f>
        <v>6.222369229517956</v>
      </c>
      <c r="N36" s="125"/>
      <c r="O36">
        <f>ASIN(9.81*C36*COS($F$6/180*PI())/(2*$F$4^2*COS(($F$5+$F$6)/180*PI())))*180/PI()</f>
        <v>6.938817864103229</v>
      </c>
    </row>
    <row r="37" spans="2:14" ht="12.75">
      <c r="B37" s="169">
        <f t="shared" si="3"/>
        <v>48.49742261192856</v>
      </c>
      <c r="C37" s="170">
        <f t="shared" si="4"/>
        <v>42</v>
      </c>
      <c r="D37" s="38">
        <f t="shared" si="0"/>
        <v>45.93175853018373</v>
      </c>
      <c r="E37" s="223">
        <f t="shared" si="10"/>
        <v>118.27279091305373</v>
      </c>
      <c r="F37" s="38">
        <f t="shared" si="5"/>
        <v>108.1362089726492</v>
      </c>
      <c r="G37" s="38">
        <f t="shared" si="6"/>
        <v>47.906297909423834</v>
      </c>
      <c r="H37" s="39">
        <f t="shared" si="7"/>
        <v>23.89420954368193</v>
      </c>
      <c r="I37" s="38">
        <f t="shared" si="1"/>
        <v>2.257244113855379</v>
      </c>
      <c r="J37" s="40">
        <f t="shared" si="8"/>
        <v>1.2742750730738452</v>
      </c>
      <c r="K37" s="38">
        <f t="shared" si="9"/>
        <v>91.4435108718543</v>
      </c>
      <c r="L37" s="41">
        <f t="shared" si="2"/>
        <v>232.26651761450992</v>
      </c>
      <c r="M37" s="58"/>
      <c r="N37" s="88"/>
    </row>
    <row r="38" spans="2:14" ht="12.75">
      <c r="B38" s="169">
        <f t="shared" si="3"/>
        <v>50.80682368868706</v>
      </c>
      <c r="C38" s="170">
        <f t="shared" si="4"/>
        <v>44</v>
      </c>
      <c r="D38" s="38">
        <f t="shared" si="0"/>
        <v>48.118985126859144</v>
      </c>
      <c r="E38" s="223">
        <f t="shared" si="10"/>
        <v>117.49530747565548</v>
      </c>
      <c r="F38" s="38">
        <f t="shared" si="5"/>
        <v>108.1362089726492</v>
      </c>
      <c r="G38" s="38">
        <f t="shared" si="6"/>
        <v>45.9533196605247</v>
      </c>
      <c r="H38" s="39">
        <f t="shared" si="7"/>
        <v>23.02344140448435</v>
      </c>
      <c r="I38" s="38">
        <f t="shared" si="1"/>
        <v>2.353175130142807</v>
      </c>
      <c r="J38" s="40">
        <f t="shared" si="8"/>
        <v>1.3349548384583143</v>
      </c>
      <c r="K38" s="38">
        <f t="shared" si="9"/>
        <v>80.15513719388366</v>
      </c>
      <c r="L38" s="41">
        <f t="shared" si="2"/>
        <v>203.5940484724645</v>
      </c>
      <c r="M38" s="58"/>
      <c r="N38" s="88"/>
    </row>
    <row r="39" spans="2:14" ht="12.75">
      <c r="B39" s="169">
        <f t="shared" si="3"/>
        <v>53.116224765445565</v>
      </c>
      <c r="C39" s="170">
        <f t="shared" si="4"/>
        <v>46</v>
      </c>
      <c r="D39" s="38">
        <f t="shared" si="0"/>
        <v>50.30621172353456</v>
      </c>
      <c r="E39" s="223">
        <f t="shared" si="10"/>
        <v>116.74531997179189</v>
      </c>
      <c r="F39" s="38">
        <f t="shared" si="5"/>
        <v>108.1362089726492</v>
      </c>
      <c r="G39" s="38">
        <f t="shared" si="6"/>
        <v>44.000341411625556</v>
      </c>
      <c r="H39" s="39">
        <f t="shared" si="7"/>
        <v>22.141279425591314</v>
      </c>
      <c r="I39" s="38">
        <f t="shared" si="1"/>
        <v>2.4576220434525533</v>
      </c>
      <c r="J39" s="40">
        <f t="shared" si="8"/>
        <v>1.3956346038427834</v>
      </c>
      <c r="K39" s="38">
        <f t="shared" si="9"/>
        <v>67.44468837258319</v>
      </c>
      <c r="L39" s="41">
        <f t="shared" si="2"/>
        <v>171.3095084663613</v>
      </c>
      <c r="M39" s="58"/>
      <c r="N39" s="88"/>
    </row>
    <row r="40" spans="2:14" ht="12.75">
      <c r="B40" s="169">
        <f t="shared" si="3"/>
        <v>55.42562584220407</v>
      </c>
      <c r="C40" s="170">
        <f t="shared" si="4"/>
        <v>48</v>
      </c>
      <c r="D40" s="38">
        <f t="shared" si="0"/>
        <v>52.493438320209975</v>
      </c>
      <c r="E40" s="223">
        <f t="shared" si="10"/>
        <v>116.02336161271428</v>
      </c>
      <c r="F40" s="38">
        <f t="shared" si="5"/>
        <v>108.1362089726492</v>
      </c>
      <c r="G40" s="38">
        <f t="shared" si="6"/>
        <v>42.047363162726434</v>
      </c>
      <c r="H40" s="39">
        <f t="shared" si="7"/>
        <v>21.247924879669675</v>
      </c>
      <c r="I40" s="38">
        <f t="shared" si="1"/>
        <v>2.5717714700480503</v>
      </c>
      <c r="J40" s="40">
        <f t="shared" si="8"/>
        <v>1.456314369227252</v>
      </c>
      <c r="K40" s="38">
        <f t="shared" si="9"/>
        <v>53.31216440795242</v>
      </c>
      <c r="L40" s="41">
        <f t="shared" si="2"/>
        <v>135.41289759619914</v>
      </c>
      <c r="M40" s="58"/>
      <c r="N40" s="88"/>
    </row>
    <row r="41" spans="2:15" ht="12.75">
      <c r="B41" s="169">
        <f t="shared" si="3"/>
        <v>57.735026918962575</v>
      </c>
      <c r="C41" s="258">
        <f t="shared" si="4"/>
        <v>50</v>
      </c>
      <c r="D41" s="43">
        <f t="shared" si="0"/>
        <v>54.68066491688539</v>
      </c>
      <c r="E41" s="224">
        <f t="shared" si="10"/>
        <v>115.32995878172594</v>
      </c>
      <c r="F41" s="43">
        <f t="shared" si="5"/>
        <v>108.1362089726492</v>
      </c>
      <c r="G41" s="43">
        <f t="shared" si="6"/>
        <v>40.09438491382731</v>
      </c>
      <c r="H41" s="44">
        <f t="shared" si="7"/>
        <v>20.343605934426172</v>
      </c>
      <c r="I41" s="43">
        <f t="shared" si="1"/>
        <v>2.6970412242277946</v>
      </c>
      <c r="J41" s="45">
        <f t="shared" si="8"/>
        <v>1.5169941346117206</v>
      </c>
      <c r="K41" s="43">
        <f t="shared" si="9"/>
        <v>37.75756529999171</v>
      </c>
      <c r="L41" s="46">
        <f t="shared" si="2"/>
        <v>95.90421586197894</v>
      </c>
      <c r="M41" s="58">
        <f>0.5*ASIN(9.81*C41/$F$4^2)*180/PI()</f>
        <v>7.813460720332451</v>
      </c>
      <c r="N41" s="125"/>
      <c r="O41">
        <f>ASIN(9.81*C41*COS($F$6/180*PI())/(2*$F$4^2*COS(($F$5+$F$6)/180*PI())))*180/PI()</f>
        <v>8.68556377191943</v>
      </c>
    </row>
    <row r="42" spans="2:14" ht="12.75">
      <c r="B42" s="169">
        <f t="shared" si="3"/>
        <v>60.04442799572107</v>
      </c>
      <c r="C42" s="170">
        <f t="shared" si="4"/>
        <v>52</v>
      </c>
      <c r="D42" s="38">
        <f t="shared" si="0"/>
        <v>56.86789151356081</v>
      </c>
      <c r="E42" s="223">
        <f t="shared" si="10"/>
        <v>114.66562952060171</v>
      </c>
      <c r="F42" s="38">
        <f t="shared" si="5"/>
        <v>108.1362089726492</v>
      </c>
      <c r="G42" s="38">
        <f t="shared" si="6"/>
        <v>38.141406664928176</v>
      </c>
      <c r="H42" s="39">
        <f t="shared" si="7"/>
        <v>19.42857822978247</v>
      </c>
      <c r="I42" s="38">
        <f t="shared" si="1"/>
        <v>2.835139509211722</v>
      </c>
      <c r="J42" s="40">
        <f t="shared" si="8"/>
        <v>1.5776738999961897</v>
      </c>
      <c r="K42" s="38">
        <f t="shared" si="9"/>
        <v>20.780891048700596</v>
      </c>
      <c r="L42" s="41">
        <f t="shared" si="2"/>
        <v>52.78346326369952</v>
      </c>
      <c r="M42" s="58"/>
      <c r="N42" s="88"/>
    </row>
    <row r="43" spans="2:14" ht="12.75">
      <c r="B43" s="169">
        <f t="shared" si="3"/>
        <v>62.35382907247958</v>
      </c>
      <c r="C43" s="170">
        <f t="shared" si="4"/>
        <v>54</v>
      </c>
      <c r="D43" s="38">
        <f t="shared" si="0"/>
        <v>59.05511811023622</v>
      </c>
      <c r="E43" s="223">
        <f t="shared" si="10"/>
        <v>114.03088196711677</v>
      </c>
      <c r="F43" s="38">
        <f t="shared" si="5"/>
        <v>108.1362089726492</v>
      </c>
      <c r="G43" s="38">
        <f t="shared" si="6"/>
        <v>36.18842841602905</v>
      </c>
      <c r="H43" s="39">
        <f t="shared" si="7"/>
        <v>18.503125331036557</v>
      </c>
      <c r="I43" s="38">
        <f t="shared" si="1"/>
        <v>2.988143274128812</v>
      </c>
      <c r="J43" s="40">
        <f t="shared" si="8"/>
        <v>1.6383536653806585</v>
      </c>
      <c r="K43" s="38">
        <f t="shared" si="9"/>
        <v>2.3821416540795326</v>
      </c>
      <c r="L43" s="41">
        <f t="shared" si="2"/>
        <v>6.050639801362013</v>
      </c>
      <c r="M43" s="58"/>
      <c r="N43" s="88"/>
    </row>
    <row r="44" spans="2:14" ht="12.75">
      <c r="B44" s="169">
        <f t="shared" si="3"/>
        <v>64.66323014923807</v>
      </c>
      <c r="C44" s="170">
        <f t="shared" si="4"/>
        <v>56</v>
      </c>
      <c r="D44" s="38">
        <f t="shared" si="0"/>
        <v>61.24234470691164</v>
      </c>
      <c r="E44" s="223">
        <f t="shared" si="10"/>
        <v>113.42621275138518</v>
      </c>
      <c r="F44" s="38">
        <f t="shared" si="5"/>
        <v>108.1362089726492</v>
      </c>
      <c r="G44" s="38">
        <f t="shared" si="6"/>
        <v>34.23545016712992</v>
      </c>
      <c r="H44" s="39">
        <f t="shared" si="7"/>
        <v>17.567559044776655</v>
      </c>
      <c r="I44" s="38">
        <f t="shared" si="1"/>
        <v>3.158603390484193</v>
      </c>
      <c r="J44" s="40">
        <f t="shared" si="8"/>
        <v>1.6990334307651274</v>
      </c>
      <c r="K44" s="38">
        <f t="shared" si="9"/>
        <v>-17.43868288387125</v>
      </c>
      <c r="L44" s="41">
        <f t="shared" si="2"/>
        <v>-44.29425452503298</v>
      </c>
      <c r="M44" s="58"/>
      <c r="N44" s="88"/>
    </row>
    <row r="45" spans="2:14" ht="12.75">
      <c r="B45" s="169">
        <f t="shared" si="3"/>
        <v>66.97263122599658</v>
      </c>
      <c r="C45" s="170">
        <f t="shared" si="4"/>
        <v>58</v>
      </c>
      <c r="D45" s="38">
        <f t="shared" si="0"/>
        <v>63.42957130358705</v>
      </c>
      <c r="E45" s="223">
        <f t="shared" si="10"/>
        <v>112.85210535974869</v>
      </c>
      <c r="F45" s="38">
        <f t="shared" si="5"/>
        <v>108.1362089726492</v>
      </c>
      <c r="G45" s="38">
        <f t="shared" si="6"/>
        <v>32.2824719182308</v>
      </c>
      <c r="H45" s="39">
        <f t="shared" si="7"/>
        <v>16.622219584898076</v>
      </c>
      <c r="I45" s="38">
        <f t="shared" si="1"/>
        <v>3.3496880055080833</v>
      </c>
      <c r="J45" s="40">
        <f t="shared" si="8"/>
        <v>1.759713196149596</v>
      </c>
      <c r="K45" s="38">
        <f t="shared" si="9"/>
        <v>-38.68158256515221</v>
      </c>
      <c r="L45" s="41">
        <f t="shared" si="2"/>
        <v>-98.25121971548661</v>
      </c>
      <c r="M45" s="58"/>
      <c r="N45" s="88"/>
    </row>
    <row r="46" spans="2:15" ht="12.75">
      <c r="B46" s="169">
        <f t="shared" si="3"/>
        <v>69.28203230275508</v>
      </c>
      <c r="C46" s="258">
        <f t="shared" si="4"/>
        <v>60</v>
      </c>
      <c r="D46" s="43">
        <f t="shared" si="0"/>
        <v>65.61679790026247</v>
      </c>
      <c r="E46" s="224">
        <f t="shared" si="10"/>
        <v>112.3090284759622</v>
      </c>
      <c r="F46" s="43">
        <f t="shared" si="5"/>
        <v>108.1362089726492</v>
      </c>
      <c r="G46" s="43">
        <f t="shared" si="6"/>
        <v>30.329493669331654</v>
      </c>
      <c r="H46" s="44">
        <f t="shared" si="7"/>
        <v>15.667475576927272</v>
      </c>
      <c r="I46" s="43">
        <f t="shared" si="1"/>
        <v>3.5653812804001257</v>
      </c>
      <c r="J46" s="45">
        <f t="shared" si="8"/>
        <v>1.820392961534065</v>
      </c>
      <c r="K46" s="43">
        <f t="shared" si="9"/>
        <v>-61.34655738976289</v>
      </c>
      <c r="L46" s="46">
        <f t="shared" si="2"/>
        <v>-155.82025576999774</v>
      </c>
      <c r="M46" s="58">
        <f>0.5*ASIN(9.81*C46/$F$4^2)*180/PI()</f>
        <v>9.429696445776598</v>
      </c>
      <c r="N46" s="125"/>
      <c r="O46">
        <f>ASIN(9.81*C46*COS($F$6/180*PI())/(2*$F$4^2*COS(($F$5+$F$6)/180*PI())))*180/PI()</f>
        <v>10.440486016236491</v>
      </c>
    </row>
    <row r="47" spans="2:14" ht="12.75">
      <c r="B47" s="169">
        <f t="shared" si="3"/>
        <v>71.59143337951359</v>
      </c>
      <c r="C47" s="170">
        <f t="shared" si="4"/>
        <v>62</v>
      </c>
      <c r="D47" s="257">
        <f t="shared" si="0"/>
        <v>67.80402449693788</v>
      </c>
      <c r="E47" s="223">
        <f t="shared" si="10"/>
        <v>111.79743431037451</v>
      </c>
      <c r="F47" s="38">
        <f t="shared" si="5"/>
        <v>108.1362089726492</v>
      </c>
      <c r="G47" s="38">
        <f t="shared" si="6"/>
        <v>28.376515420432526</v>
      </c>
      <c r="H47" s="39">
        <f t="shared" si="7"/>
        <v>14.70372388999053</v>
      </c>
      <c r="I47" s="38">
        <f t="shared" si="1"/>
        <v>3.8107641960431002</v>
      </c>
      <c r="J47" s="40">
        <f t="shared" si="8"/>
        <v>1.8810727269185339</v>
      </c>
      <c r="K47" s="38">
        <f t="shared" si="9"/>
        <v>-85.43360735770398</v>
      </c>
      <c r="L47" s="41">
        <f t="shared" si="2"/>
        <v>-217.0013626885681</v>
      </c>
      <c r="M47" s="58"/>
      <c r="N47" s="88"/>
    </row>
    <row r="48" spans="2:14" ht="12.75">
      <c r="B48" s="169">
        <f t="shared" si="3"/>
        <v>73.9008344562721</v>
      </c>
      <c r="C48" s="170">
        <f t="shared" si="4"/>
        <v>64</v>
      </c>
      <c r="D48" s="38">
        <f t="shared" si="0"/>
        <v>69.9912510936133</v>
      </c>
      <c r="E48" s="223">
        <f t="shared" si="10"/>
        <v>111.31775692867632</v>
      </c>
      <c r="F48" s="38">
        <f t="shared" si="5"/>
        <v>108.1362089726492</v>
      </c>
      <c r="G48" s="38">
        <f t="shared" si="6"/>
        <v>26.423537171533397</v>
      </c>
      <c r="H48" s="39">
        <f t="shared" si="7"/>
        <v>13.731389287181207</v>
      </c>
      <c r="I48" s="38">
        <f t="shared" si="1"/>
        <v>4.09241988575044</v>
      </c>
      <c r="J48" s="40">
        <f t="shared" si="8"/>
        <v>1.9417524923030027</v>
      </c>
      <c r="K48" s="38">
        <f t="shared" si="9"/>
        <v>-110.94273246897524</v>
      </c>
      <c r="L48" s="41">
        <f t="shared" si="2"/>
        <v>-281.7945404711971</v>
      </c>
      <c r="M48" s="58"/>
      <c r="N48" s="88"/>
    </row>
    <row r="49" spans="2:14" ht="12.75">
      <c r="B49" s="169">
        <f t="shared" si="3"/>
        <v>76.2102355330306</v>
      </c>
      <c r="C49" s="170">
        <f t="shared" si="4"/>
        <v>66</v>
      </c>
      <c r="D49" s="38">
        <f t="shared" si="0"/>
        <v>72.17847769028872</v>
      </c>
      <c r="E49" s="223">
        <f t="shared" si="10"/>
        <v>110.8704105925588</v>
      </c>
      <c r="F49" s="38">
        <f t="shared" si="5"/>
        <v>108.1362089726492</v>
      </c>
      <c r="G49" s="38">
        <f t="shared" si="6"/>
        <v>24.470558922634282</v>
      </c>
      <c r="H49" s="39">
        <f t="shared" si="7"/>
        <v>12.750923886775082</v>
      </c>
      <c r="I49" s="38">
        <f t="shared" si="1"/>
        <v>4.419033063957831</v>
      </c>
      <c r="J49" s="40">
        <f t="shared" si="8"/>
        <v>2.002432257687471</v>
      </c>
      <c r="K49" s="38">
        <f t="shared" si="9"/>
        <v>-137.8739327235769</v>
      </c>
      <c r="L49" s="41">
        <f t="shared" si="2"/>
        <v>-350.1997891178853</v>
      </c>
      <c r="M49" s="58"/>
      <c r="N49" s="88"/>
    </row>
    <row r="50" spans="2:14" ht="12.75">
      <c r="B50" s="169">
        <f t="shared" si="3"/>
        <v>78.5196366097891</v>
      </c>
      <c r="C50" s="170">
        <f t="shared" si="4"/>
        <v>68</v>
      </c>
      <c r="D50" s="38">
        <f t="shared" si="0"/>
        <v>74.36570428696413</v>
      </c>
      <c r="E50" s="223">
        <f t="shared" si="10"/>
        <v>110.45578812527042</v>
      </c>
      <c r="F50" s="38">
        <f t="shared" si="5"/>
        <v>108.1362089726492</v>
      </c>
      <c r="G50" s="38">
        <f t="shared" si="6"/>
        <v>22.51758067373514</v>
      </c>
      <c r="H50" s="39">
        <f t="shared" si="7"/>
        <v>11.762806428705687</v>
      </c>
      <c r="I50" s="38">
        <f t="shared" si="1"/>
        <v>4.802301390165817</v>
      </c>
      <c r="J50" s="40">
        <f t="shared" si="8"/>
        <v>2.06311202307194</v>
      </c>
      <c r="K50" s="38">
        <f t="shared" si="9"/>
        <v>-166.2272081215076</v>
      </c>
      <c r="L50" s="41">
        <f t="shared" si="2"/>
        <v>-422.2171086286293</v>
      </c>
      <c r="M50" s="58"/>
      <c r="N50" s="88"/>
    </row>
    <row r="51" spans="2:14" ht="12.75">
      <c r="B51" s="169">
        <f t="shared" si="3"/>
        <v>80.82903768654761</v>
      </c>
      <c r="C51" s="170">
        <f t="shared" si="4"/>
        <v>70</v>
      </c>
      <c r="D51" s="38">
        <f t="shared" si="0"/>
        <v>76.55293088363955</v>
      </c>
      <c r="E51" s="223">
        <f t="shared" si="10"/>
        <v>110.07425931555493</v>
      </c>
      <c r="F51" s="38">
        <f t="shared" si="5"/>
        <v>108.1362089726492</v>
      </c>
      <c r="G51" s="38">
        <f t="shared" si="6"/>
        <v>20.56460242483601</v>
      </c>
      <c r="H51" s="39">
        <f t="shared" si="7"/>
        <v>10.767541342920655</v>
      </c>
      <c r="I51" s="38">
        <f t="shared" si="1"/>
        <v>5.258366135104677</v>
      </c>
      <c r="J51" s="40">
        <f t="shared" si="8"/>
        <v>2.1237917884564093</v>
      </c>
      <c r="K51" s="38">
        <f t="shared" si="9"/>
        <v>-196.0025586627687</v>
      </c>
      <c r="L51" s="41">
        <f t="shared" si="2"/>
        <v>-497.84649900343254</v>
      </c>
      <c r="M51" s="58">
        <f>0.5*ASIN(9.81*C51/$F$4^2)*180/PI()</f>
        <v>11.077741163973178</v>
      </c>
      <c r="N51" s="125"/>
    </row>
    <row r="52" spans="2:14" ht="12.75">
      <c r="B52" s="169">
        <f t="shared" si="3"/>
        <v>83.1384387633061</v>
      </c>
      <c r="C52" s="170">
        <f t="shared" si="4"/>
        <v>72</v>
      </c>
      <c r="D52" s="38">
        <f t="shared" si="0"/>
        <v>78.74015748031496</v>
      </c>
      <c r="E52" s="223">
        <f t="shared" si="10"/>
        <v>109.7261693737769</v>
      </c>
      <c r="F52" s="38">
        <f t="shared" si="5"/>
        <v>108.1362089726492</v>
      </c>
      <c r="G52" s="38">
        <f t="shared" si="6"/>
        <v>18.611624175936882</v>
      </c>
      <c r="H52" s="39">
        <f t="shared" si="7"/>
        <v>9.76565761866441</v>
      </c>
      <c r="I52" s="38">
        <f t="shared" si="1"/>
        <v>5.8101435936181955</v>
      </c>
      <c r="J52" s="40">
        <f t="shared" si="8"/>
        <v>2.184471553840878</v>
      </c>
      <c r="K52" s="38">
        <f t="shared" si="9"/>
        <v>-227.1999843473602</v>
      </c>
      <c r="L52" s="41">
        <f t="shared" si="2"/>
        <v>-577.0879602422949</v>
      </c>
      <c r="M52" s="58"/>
      <c r="N52" s="88"/>
    </row>
    <row r="53" spans="2:14" ht="12.75">
      <c r="B53" s="169">
        <f t="shared" si="3"/>
        <v>85.4478398400646</v>
      </c>
      <c r="C53" s="170">
        <f t="shared" si="4"/>
        <v>74</v>
      </c>
      <c r="D53" s="38">
        <f t="shared" si="0"/>
        <v>80.92738407699038</v>
      </c>
      <c r="E53" s="223">
        <f t="shared" si="10"/>
        <v>109.41183745417527</v>
      </c>
      <c r="F53" s="38">
        <f t="shared" si="5"/>
        <v>108.1362089726492</v>
      </c>
      <c r="G53" s="38">
        <f t="shared" si="6"/>
        <v>16.658645927037767</v>
      </c>
      <c r="H53" s="39">
        <f t="shared" si="7"/>
        <v>8.757707476335622</v>
      </c>
      <c r="I53" s="38">
        <f t="shared" si="1"/>
        <v>6.491296438274076</v>
      </c>
      <c r="J53" s="40">
        <f t="shared" si="8"/>
        <v>2.2451513192253465</v>
      </c>
      <c r="K53" s="38">
        <f t="shared" si="9"/>
        <v>-259.81948517528144</v>
      </c>
      <c r="L53" s="41">
        <f t="shared" si="2"/>
        <v>-659.9414923452149</v>
      </c>
      <c r="M53" s="58"/>
      <c r="N53" s="88"/>
    </row>
    <row r="54" spans="2:14" ht="12.75">
      <c r="B54" s="169">
        <f t="shared" si="3"/>
        <v>87.75724091682311</v>
      </c>
      <c r="C54" s="170">
        <f t="shared" si="4"/>
        <v>76</v>
      </c>
      <c r="D54" s="38">
        <f t="shared" si="0"/>
        <v>83.1146106736658</v>
      </c>
      <c r="E54" s="223">
        <f t="shared" si="10"/>
        <v>109.131555257113</v>
      </c>
      <c r="F54" s="38">
        <f t="shared" si="5"/>
        <v>108.1362089726492</v>
      </c>
      <c r="G54" s="38">
        <f t="shared" si="6"/>
        <v>14.705667678138624</v>
      </c>
      <c r="H54" s="39">
        <f t="shared" si="7"/>
        <v>7.744264846300149</v>
      </c>
      <c r="I54" s="38">
        <f t="shared" si="1"/>
        <v>7.353369553794825</v>
      </c>
      <c r="J54" s="40">
        <f t="shared" si="8"/>
        <v>2.3058310846098156</v>
      </c>
      <c r="K54" s="38">
        <f t="shared" si="9"/>
        <v>-293.8610611465326</v>
      </c>
      <c r="L54" s="41">
        <f t="shared" si="2"/>
        <v>-746.4070953121928</v>
      </c>
      <c r="M54" s="58"/>
      <c r="N54" s="88"/>
    </row>
    <row r="55" spans="2:14" ht="12.75">
      <c r="B55" s="169">
        <f t="shared" si="3"/>
        <v>90.06664199358161</v>
      </c>
      <c r="C55" s="170">
        <f t="shared" si="4"/>
        <v>78</v>
      </c>
      <c r="D55" s="38">
        <f t="shared" si="0"/>
        <v>85.30183727034121</v>
      </c>
      <c r="E55" s="223">
        <f t="shared" si="10"/>
        <v>108.88558572490253</v>
      </c>
      <c r="F55" s="38">
        <f t="shared" si="5"/>
        <v>108.1362089726492</v>
      </c>
      <c r="G55" s="38">
        <f t="shared" si="6"/>
        <v>12.752689429239496</v>
      </c>
      <c r="H55" s="39">
        <f t="shared" si="7"/>
        <v>6.725923661849501</v>
      </c>
      <c r="I55" s="38">
        <f t="shared" si="1"/>
        <v>8.479482666982651</v>
      </c>
      <c r="J55" s="40">
        <f t="shared" si="8"/>
        <v>2.3665108499942846</v>
      </c>
      <c r="K55" s="38">
        <f t="shared" si="9"/>
        <v>-329.3247122611142</v>
      </c>
      <c r="L55" s="41">
        <f t="shared" si="2"/>
        <v>-836.4847691432301</v>
      </c>
      <c r="M55" s="58"/>
      <c r="N55" s="88"/>
    </row>
    <row r="56" spans="2:14" ht="12.75">
      <c r="B56" s="169">
        <f t="shared" si="3"/>
        <v>92.37604307034012</v>
      </c>
      <c r="C56" s="170">
        <f t="shared" si="4"/>
        <v>80</v>
      </c>
      <c r="D56" s="38">
        <f t="shared" si="0"/>
        <v>87.48906386701663</v>
      </c>
      <c r="E56" s="223">
        <f t="shared" si="10"/>
        <v>108.67416184427293</v>
      </c>
      <c r="F56" s="38">
        <f t="shared" si="5"/>
        <v>108.1362089726492</v>
      </c>
      <c r="G56" s="38">
        <f t="shared" si="6"/>
        <v>10.799711180340367</v>
      </c>
      <c r="H56" s="39">
        <f t="shared" si="7"/>
        <v>5.7032959763186915</v>
      </c>
      <c r="I56" s="38">
        <f t="shared" si="1"/>
        <v>10.012879711959219</v>
      </c>
      <c r="J56" s="40">
        <f t="shared" si="8"/>
        <v>2.4271906153787532</v>
      </c>
      <c r="K56" s="38">
        <f t="shared" si="9"/>
        <v>-366.2104385190255</v>
      </c>
      <c r="L56" s="41">
        <f t="shared" si="2"/>
        <v>-930.1745138383247</v>
      </c>
      <c r="M56" s="58">
        <f>0.5*ASIN(9.81*C56/$F$4^2)*180/PI()</f>
        <v>12.765385089601388</v>
      </c>
      <c r="N56" s="125"/>
    </row>
    <row r="57" spans="2:14" ht="12.75">
      <c r="B57" s="169">
        <f t="shared" si="3"/>
        <v>94.68544414709862</v>
      </c>
      <c r="C57" s="170">
        <f t="shared" si="4"/>
        <v>82</v>
      </c>
      <c r="D57" s="38">
        <f t="shared" si="0"/>
        <v>89.67629046369204</v>
      </c>
      <c r="E57" s="223">
        <f t="shared" si="10"/>
        <v>108.497485567808</v>
      </c>
      <c r="F57" s="38">
        <f t="shared" si="5"/>
        <v>108.1362089726492</v>
      </c>
      <c r="G57" s="38">
        <f t="shared" si="6"/>
        <v>8.846732931441238</v>
      </c>
      <c r="H57" s="39">
        <f t="shared" si="7"/>
        <v>4.677009917152787</v>
      </c>
      <c r="I57" s="38">
        <f t="shared" si="1"/>
        <v>12.223293029264365</v>
      </c>
      <c r="J57" s="40">
        <f t="shared" si="8"/>
        <v>2.487870380763222</v>
      </c>
      <c r="K57" s="38">
        <f t="shared" si="9"/>
        <v>-404.51823992026675</v>
      </c>
      <c r="L57" s="41">
        <f t="shared" si="2"/>
        <v>-1027.4763293974775</v>
      </c>
      <c r="M57" s="58"/>
      <c r="N57" s="88"/>
    </row>
    <row r="58" spans="2:14" ht="12.75">
      <c r="B58" s="169">
        <f t="shared" si="3"/>
        <v>96.99484522385713</v>
      </c>
      <c r="C58" s="170">
        <f t="shared" si="4"/>
        <v>84</v>
      </c>
      <c r="D58" s="38">
        <f t="shared" si="0"/>
        <v>91.86351706036746</v>
      </c>
      <c r="E58" s="223">
        <f t="shared" si="10"/>
        <v>108.35572686572469</v>
      </c>
      <c r="F58" s="38">
        <f t="shared" si="5"/>
        <v>108.1362089726492</v>
      </c>
      <c r="G58" s="38">
        <f t="shared" si="6"/>
        <v>6.893754682542124</v>
      </c>
      <c r="H58" s="39">
        <f t="shared" si="7"/>
        <v>3.647707492369301</v>
      </c>
      <c r="I58" s="38">
        <f t="shared" si="1"/>
        <v>15.686112133710735</v>
      </c>
      <c r="J58" s="40">
        <f t="shared" si="8"/>
        <v>2.5485501461476905</v>
      </c>
      <c r="K58" s="38">
        <f t="shared" si="9"/>
        <v>-444.24811646483863</v>
      </c>
      <c r="L58" s="41">
        <f t="shared" si="2"/>
        <v>-1128.3902158206902</v>
      </c>
      <c r="M58" s="58"/>
      <c r="N58" s="88"/>
    </row>
    <row r="59" spans="2:14" ht="12.75">
      <c r="B59" s="169">
        <f t="shared" si="3"/>
        <v>99.30424630061563</v>
      </c>
      <c r="C59" s="170">
        <f t="shared" si="4"/>
        <v>86</v>
      </c>
      <c r="D59" s="38">
        <f t="shared" si="0"/>
        <v>94.05074365704287</v>
      </c>
      <c r="E59" s="223">
        <f t="shared" si="10"/>
        <v>108.24902291819404</v>
      </c>
      <c r="F59" s="38">
        <f t="shared" si="5"/>
        <v>108.1362089726492</v>
      </c>
      <c r="G59" s="38">
        <f t="shared" si="6"/>
        <v>4.9407764336429665</v>
      </c>
      <c r="H59" s="39">
        <f t="shared" si="7"/>
        <v>2.616042267337921</v>
      </c>
      <c r="I59" s="38">
        <f t="shared" si="1"/>
        <v>21.88648088513438</v>
      </c>
      <c r="J59" s="40">
        <f t="shared" si="8"/>
        <v>2.60922991153216</v>
      </c>
      <c r="K59" s="38">
        <f t="shared" si="9"/>
        <v>-485.40006815274</v>
      </c>
      <c r="L59" s="41">
        <f t="shared" si="2"/>
        <v>-1232.9161731079596</v>
      </c>
      <c r="M59" s="58"/>
      <c r="N59" s="88"/>
    </row>
    <row r="60" spans="2:14" ht="12.75">
      <c r="B60" s="169">
        <f t="shared" si="3"/>
        <v>101.61364737737412</v>
      </c>
      <c r="C60" s="170">
        <f t="shared" si="4"/>
        <v>88</v>
      </c>
      <c r="D60" s="38">
        <f t="shared" si="0"/>
        <v>96.23797025371829</v>
      </c>
      <c r="E60" s="223">
        <f t="shared" si="10"/>
        <v>108.17747745704379</v>
      </c>
      <c r="F60" s="38">
        <f t="shared" si="5"/>
        <v>108.1362089726492</v>
      </c>
      <c r="G60" s="38">
        <f t="shared" si="6"/>
        <v>2.987798184743852</v>
      </c>
      <c r="H60" s="39">
        <f t="shared" si="7"/>
        <v>1.5826769320243952</v>
      </c>
      <c r="I60" s="38">
        <f t="shared" si="1"/>
        <v>36.19260816370027</v>
      </c>
      <c r="J60" s="40">
        <f t="shared" si="8"/>
        <v>2.6699096769166286</v>
      </c>
      <c r="K60" s="38">
        <f t="shared" si="9"/>
        <v>-527.9740949839718</v>
      </c>
      <c r="L60" s="41">
        <f t="shared" si="2"/>
        <v>-1341.0542012592884</v>
      </c>
      <c r="M60" s="58"/>
      <c r="N60" s="88"/>
    </row>
    <row r="61" spans="2:14" ht="13.5" thickBot="1">
      <c r="B61" s="171">
        <f t="shared" si="3"/>
        <v>103.92304845413263</v>
      </c>
      <c r="C61" s="259">
        <f t="shared" si="4"/>
        <v>90</v>
      </c>
      <c r="D61" s="47">
        <f t="shared" si="0"/>
        <v>98.4251968503937</v>
      </c>
      <c r="E61" s="276">
        <f>SQRT(F61^2+G61^2)</f>
        <v>108.14116026414771</v>
      </c>
      <c r="F61" s="47">
        <f t="shared" si="5"/>
        <v>108.1362089726492</v>
      </c>
      <c r="G61" s="47">
        <f t="shared" si="6"/>
        <v>1.0348199358447232</v>
      </c>
      <c r="H61" s="131">
        <f t="shared" si="7"/>
        <v>0.5482807807606198</v>
      </c>
      <c r="I61" s="47">
        <f t="shared" si="1"/>
        <v>104.49760893365244</v>
      </c>
      <c r="J61" s="132">
        <f t="shared" si="8"/>
        <v>2.7305894423010972</v>
      </c>
      <c r="K61" s="47">
        <f t="shared" si="9"/>
        <v>-571.970196958533</v>
      </c>
      <c r="L61" s="61">
        <f t="shared" si="2"/>
        <v>-1452.804300274674</v>
      </c>
      <c r="M61" s="59">
        <f>0.5*ASIN(9.81*C61/$F$4^2)*180/PI()</f>
        <v>14.501985289480201</v>
      </c>
      <c r="N61" s="125"/>
    </row>
    <row r="62" spans="2:13" ht="6" customHeight="1">
      <c r="B62" s="62"/>
      <c r="C62" s="63"/>
      <c r="D62" s="64"/>
      <c r="E62" s="65"/>
      <c r="F62" s="66"/>
      <c r="G62" s="66"/>
      <c r="H62" s="67"/>
      <c r="I62" s="64"/>
      <c r="J62" s="68"/>
      <c r="K62" s="66"/>
      <c r="L62" s="69"/>
      <c r="M62" s="70"/>
    </row>
    <row r="63" spans="2:13" ht="12.75">
      <c r="B63" s="71"/>
      <c r="C63" s="72"/>
      <c r="D63" s="73"/>
      <c r="E63" s="74"/>
      <c r="F63" s="75"/>
      <c r="G63" s="75"/>
      <c r="H63" s="76"/>
      <c r="I63" s="73"/>
      <c r="J63" s="77"/>
      <c r="K63" s="75"/>
      <c r="L63" s="78"/>
      <c r="M63" s="79"/>
    </row>
    <row r="64" spans="2:13" ht="12.75">
      <c r="B64" s="71"/>
      <c r="C64" s="72"/>
      <c r="D64" s="73"/>
      <c r="E64" s="74"/>
      <c r="F64" s="75"/>
      <c r="G64" s="75"/>
      <c r="H64" s="76"/>
      <c r="I64" s="73"/>
      <c r="J64" s="77"/>
      <c r="K64" s="75"/>
      <c r="L64" s="78"/>
      <c r="M64" s="79"/>
    </row>
    <row r="65" spans="2:13" ht="12.75">
      <c r="B65" s="71"/>
      <c r="C65" s="72"/>
      <c r="D65" s="73"/>
      <c r="E65" s="74"/>
      <c r="F65" s="75"/>
      <c r="G65" s="75"/>
      <c r="H65" s="76"/>
      <c r="I65" s="73"/>
      <c r="J65" s="77"/>
      <c r="K65" s="75"/>
      <c r="L65" s="78"/>
      <c r="M65" s="79"/>
    </row>
    <row r="66" spans="2:13" ht="12.75">
      <c r="B66" s="71"/>
      <c r="C66" s="72"/>
      <c r="D66" s="73"/>
      <c r="E66" s="74"/>
      <c r="F66" s="75"/>
      <c r="J66" s="77"/>
      <c r="K66" s="75"/>
      <c r="L66" s="78"/>
      <c r="M66" s="79"/>
    </row>
    <row r="67" spans="2:13" ht="12.75">
      <c r="B67" s="71"/>
      <c r="C67" s="72"/>
      <c r="D67" s="73"/>
      <c r="E67" s="74"/>
      <c r="J67" s="77"/>
      <c r="K67" s="75"/>
      <c r="L67" s="78"/>
      <c r="M67" s="79"/>
    </row>
    <row r="68" spans="2:13" ht="12.75">
      <c r="B68" s="71"/>
      <c r="C68" s="72"/>
      <c r="D68" s="73"/>
      <c r="E68" s="74"/>
      <c r="J68" s="77"/>
      <c r="K68" s="75"/>
      <c r="L68" s="78"/>
      <c r="M68" s="79"/>
    </row>
    <row r="69" spans="2:13" ht="12.75">
      <c r="B69" s="71"/>
      <c r="C69" s="72"/>
      <c r="D69" s="73"/>
      <c r="E69" s="74"/>
      <c r="J69" s="77"/>
      <c r="K69" s="75"/>
      <c r="L69" s="78"/>
      <c r="M69" s="79"/>
    </row>
    <row r="70" spans="2:13" ht="12.75">
      <c r="B70" s="71"/>
      <c r="C70" s="72"/>
      <c r="D70" s="73"/>
      <c r="E70" s="74"/>
      <c r="J70" s="77"/>
      <c r="K70" s="75"/>
      <c r="L70" s="78"/>
      <c r="M70" s="79"/>
    </row>
    <row r="71" spans="2:13" ht="12.75">
      <c r="B71" s="71"/>
      <c r="C71" s="72"/>
      <c r="D71" s="73"/>
      <c r="E71" s="74"/>
      <c r="J71" s="77"/>
      <c r="K71" s="75"/>
      <c r="L71" s="78"/>
      <c r="M71" s="79"/>
    </row>
  </sheetData>
  <mergeCells count="1">
    <mergeCell ref="J3:L12"/>
  </mergeCells>
  <printOptions/>
  <pageMargins left="0.59" right="0.45" top="0.31" bottom="0.36" header="0" footer="0.26"/>
  <pageSetup horizontalDpi="300" verticalDpi="300" orientation="portrait" paperSize="9" scale="9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B73"/>
  <sheetViews>
    <sheetView showGridLines="0" workbookViewId="0" topLeftCell="A1">
      <selection activeCell="A1" sqref="A1"/>
    </sheetView>
  </sheetViews>
  <sheetFormatPr defaultColWidth="9.75390625" defaultRowHeight="12.75"/>
  <cols>
    <col min="1" max="1" width="3.625" style="0" customWidth="1"/>
    <col min="2" max="2" width="6.75390625" style="0" customWidth="1"/>
    <col min="3" max="3" width="4.25390625" style="0" customWidth="1"/>
    <col min="4" max="4" width="5.75390625" style="0" customWidth="1"/>
    <col min="5" max="5" width="8.00390625" style="0" customWidth="1"/>
    <col min="6" max="6" width="6.75390625" style="0" customWidth="1"/>
    <col min="7" max="7" width="8.00390625" style="0" customWidth="1"/>
    <col min="8" max="8" width="7.75390625" style="0" customWidth="1"/>
    <col min="9" max="9" width="7.25390625" style="0" customWidth="1"/>
    <col min="10" max="10" width="8.50390625" style="0" customWidth="1"/>
    <col min="11" max="11" width="7.375" style="3" customWidth="1"/>
    <col min="12" max="12" width="7.125" style="3" customWidth="1"/>
    <col min="13" max="13" width="7.625" style="81" customWidth="1"/>
    <col min="14" max="14" width="2.625" style="92" customWidth="1"/>
    <col min="15" max="15" width="7.875" style="92" customWidth="1"/>
    <col min="16" max="20" width="6.625" style="0" customWidth="1"/>
    <col min="21" max="81" width="5.625" style="0" customWidth="1"/>
    <col min="82" max="16384" width="9.00390625" style="0" customWidth="1"/>
  </cols>
  <sheetData>
    <row r="2" spans="4:28" ht="13.5" thickBot="1">
      <c r="D2" s="1"/>
      <c r="J2" s="2"/>
      <c r="O2" s="279"/>
      <c r="P2" s="2"/>
      <c r="Q2" s="2"/>
      <c r="R2" s="2"/>
      <c r="S2" s="2"/>
      <c r="T2" s="2"/>
      <c r="U2" s="1"/>
      <c r="V2" s="1"/>
      <c r="W2" s="1"/>
      <c r="X2" s="1"/>
      <c r="Y2" s="1"/>
      <c r="Z2" s="1"/>
      <c r="AA2" s="4"/>
      <c r="AB2" s="4"/>
    </row>
    <row r="3" spans="1:28" ht="12.75">
      <c r="A3" s="5"/>
      <c r="C3" s="6" t="s">
        <v>0</v>
      </c>
      <c r="D3" s="7"/>
      <c r="E3" s="8"/>
      <c r="F3" s="89">
        <v>1000</v>
      </c>
      <c r="J3" s="225" t="s">
        <v>18</v>
      </c>
      <c r="K3" s="226"/>
      <c r="L3" s="227"/>
      <c r="Q3" s="2"/>
      <c r="R3" s="2"/>
      <c r="S3" s="2"/>
      <c r="T3" s="2"/>
      <c r="U3" s="1"/>
      <c r="V3" s="1"/>
      <c r="W3" s="1"/>
      <c r="X3" s="1"/>
      <c r="Y3" s="1"/>
      <c r="Z3" s="1"/>
      <c r="AB3" s="4"/>
    </row>
    <row r="4" spans="1:28" ht="12.75">
      <c r="A4" s="5"/>
      <c r="C4" s="50" t="s">
        <v>14</v>
      </c>
      <c r="D4" s="51"/>
      <c r="E4" s="52"/>
      <c r="F4" s="124">
        <f>0.3048*F3</f>
        <v>304.8</v>
      </c>
      <c r="H4" s="53" t="s">
        <v>52</v>
      </c>
      <c r="J4" s="228"/>
      <c r="K4" s="229"/>
      <c r="L4" s="230"/>
      <c r="Q4" s="2"/>
      <c r="R4" s="2"/>
      <c r="S4" s="2"/>
      <c r="T4" s="2"/>
      <c r="U4" s="1"/>
      <c r="V4" s="1"/>
      <c r="W4" s="1"/>
      <c r="X4" s="1"/>
      <c r="Y4" s="1"/>
      <c r="Z4" s="1"/>
      <c r="AB4" s="4"/>
    </row>
    <row r="5" spans="1:28" ht="12.75">
      <c r="A5" s="5"/>
      <c r="C5" s="11" t="s">
        <v>1</v>
      </c>
      <c r="D5" s="12"/>
      <c r="E5" s="13"/>
      <c r="F5" s="285">
        <v>0.1815</v>
      </c>
      <c r="H5" s="54">
        <f>2*F3*COS(F5*PI()/180)*F3*SIN(F5*PI()/180)/32.185*0.3048</f>
        <v>59.998796138803684</v>
      </c>
      <c r="J5" s="231"/>
      <c r="K5" s="229"/>
      <c r="L5" s="230"/>
      <c r="Q5" s="2"/>
      <c r="R5" s="2"/>
      <c r="S5" s="2"/>
      <c r="T5" s="2"/>
      <c r="U5" s="1"/>
      <c r="V5" s="1"/>
      <c r="W5" s="1"/>
      <c r="X5" s="1"/>
      <c r="Y5" s="1"/>
      <c r="Z5" s="1"/>
      <c r="AB5" s="4"/>
    </row>
    <row r="6" spans="1:28" ht="13.5" thickBot="1">
      <c r="A6" s="5"/>
      <c r="C6" s="14" t="s">
        <v>2</v>
      </c>
      <c r="D6" s="15"/>
      <c r="E6" s="16"/>
      <c r="F6" s="80">
        <v>-30</v>
      </c>
      <c r="H6" s="176"/>
      <c r="J6" s="231"/>
      <c r="K6" s="229"/>
      <c r="L6" s="230"/>
      <c r="Q6" s="2"/>
      <c r="R6" s="2"/>
      <c r="S6" s="2"/>
      <c r="T6" s="2"/>
      <c r="U6" s="1"/>
      <c r="V6" s="1"/>
      <c r="W6" s="1"/>
      <c r="X6" s="1"/>
      <c r="Y6" s="1"/>
      <c r="Z6" s="1"/>
      <c r="AB6" s="4"/>
    </row>
    <row r="7" spans="3:28" ht="13.5" thickBot="1">
      <c r="C7" s="10"/>
      <c r="D7" s="10"/>
      <c r="E7" s="10"/>
      <c r="F7" s="10"/>
      <c r="H7" s="48"/>
      <c r="J7" s="231"/>
      <c r="K7" s="229"/>
      <c r="L7" s="230"/>
      <c r="Q7" s="2"/>
      <c r="R7" s="2"/>
      <c r="S7" s="2"/>
      <c r="T7" s="2"/>
      <c r="U7" s="1"/>
      <c r="V7" s="1"/>
      <c r="W7" s="1"/>
      <c r="X7" s="1"/>
      <c r="Y7" s="1"/>
      <c r="Z7" s="1"/>
      <c r="AB7" s="4"/>
    </row>
    <row r="8" spans="3:28" ht="12.75">
      <c r="C8" s="6" t="s">
        <v>3</v>
      </c>
      <c r="D8" s="7"/>
      <c r="E8" s="18"/>
      <c r="F8" s="19">
        <f>F5+F6</f>
        <v>-29.8185</v>
      </c>
      <c r="H8" s="53" t="s">
        <v>46</v>
      </c>
      <c r="J8" s="231"/>
      <c r="K8" s="229"/>
      <c r="L8" s="230"/>
      <c r="Q8" s="2"/>
      <c r="R8" s="2"/>
      <c r="S8" s="2"/>
      <c r="T8" s="2"/>
      <c r="U8" s="1"/>
      <c r="V8" s="1"/>
      <c r="W8" s="1"/>
      <c r="X8" s="1"/>
      <c r="Y8" s="1"/>
      <c r="Z8" s="1"/>
      <c r="AB8" s="4"/>
    </row>
    <row r="9" spans="1:28" ht="12.75">
      <c r="A9" s="5"/>
      <c r="C9" s="20" t="s">
        <v>4</v>
      </c>
      <c r="D9" s="21"/>
      <c r="E9" s="13"/>
      <c r="F9" s="22">
        <f>F3*COS(F8*3.14159/180)</f>
        <v>867.6051608341709</v>
      </c>
      <c r="H9" s="54">
        <f>H5/COS(F6/180*PI())</f>
        <v>69.28064220358357</v>
      </c>
      <c r="J9" s="231"/>
      <c r="K9" s="229"/>
      <c r="L9" s="230"/>
      <c r="Q9" s="2"/>
      <c r="R9" s="2"/>
      <c r="S9" s="2"/>
      <c r="T9" s="2"/>
      <c r="U9" s="1"/>
      <c r="V9" s="1"/>
      <c r="W9" s="1"/>
      <c r="X9" s="1"/>
      <c r="Y9" s="1"/>
      <c r="Z9" s="1"/>
      <c r="AB9" s="4"/>
    </row>
    <row r="10" spans="1:28" ht="13.5" thickBot="1">
      <c r="A10" s="5"/>
      <c r="C10" s="14" t="s">
        <v>5</v>
      </c>
      <c r="D10" s="15"/>
      <c r="E10" s="24"/>
      <c r="F10" s="17">
        <f>F3*SIN(F8*3.14159/180)</f>
        <v>-497.253742966217</v>
      </c>
      <c r="H10" s="49"/>
      <c r="J10" s="231"/>
      <c r="K10" s="229"/>
      <c r="L10" s="230"/>
      <c r="Q10" s="2"/>
      <c r="R10" s="2"/>
      <c r="S10" s="2"/>
      <c r="T10" s="2"/>
      <c r="U10" s="1"/>
      <c r="V10" s="1"/>
      <c r="W10" s="1"/>
      <c r="X10" s="1"/>
      <c r="Y10" s="1"/>
      <c r="Z10" s="1"/>
      <c r="AB10" s="4"/>
    </row>
    <row r="11" spans="1:28" ht="13.5" thickBot="1">
      <c r="A11" s="5"/>
      <c r="C11" s="10"/>
      <c r="D11" s="10"/>
      <c r="E11" s="10"/>
      <c r="F11" s="10"/>
      <c r="H11" s="49"/>
      <c r="J11" s="231"/>
      <c r="K11" s="229"/>
      <c r="L11" s="230"/>
      <c r="Q11" s="2"/>
      <c r="R11" s="2"/>
      <c r="S11" s="2"/>
      <c r="T11" s="2"/>
      <c r="U11" s="1"/>
      <c r="V11" s="1"/>
      <c r="W11" s="1"/>
      <c r="X11" s="1"/>
      <c r="Y11" s="1"/>
      <c r="Z11" s="1"/>
      <c r="AB11" s="4"/>
    </row>
    <row r="12" spans="1:28" ht="13.5" thickBot="1">
      <c r="A12" s="5"/>
      <c r="C12" s="25" t="s">
        <v>6</v>
      </c>
      <c r="D12" s="26"/>
      <c r="E12" s="27"/>
      <c r="F12" s="28">
        <v>2</v>
      </c>
      <c r="H12" s="49"/>
      <c r="J12" s="232"/>
      <c r="K12" s="233"/>
      <c r="L12" s="234"/>
      <c r="Q12" s="2"/>
      <c r="R12" s="2"/>
      <c r="S12" s="2"/>
      <c r="T12" s="2"/>
      <c r="U12" s="1"/>
      <c r="V12" s="1"/>
      <c r="W12" s="1"/>
      <c r="X12" s="1"/>
      <c r="Y12" s="1"/>
      <c r="Z12" s="1"/>
      <c r="AB12" s="4"/>
    </row>
    <row r="13" spans="1:28" ht="12.75">
      <c r="A13" s="5"/>
      <c r="B13" s="10"/>
      <c r="C13" s="10"/>
      <c r="D13" s="10"/>
      <c r="E13" s="10"/>
      <c r="F13" s="10"/>
      <c r="G13" s="10"/>
      <c r="H13" s="9"/>
      <c r="I13" s="9"/>
      <c r="J13" s="9"/>
      <c r="K13" s="29"/>
      <c r="L13" s="30"/>
      <c r="M13" s="82"/>
      <c r="N13" s="280"/>
      <c r="O13" s="279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B13" s="4"/>
    </row>
    <row r="14" spans="1:28" ht="13.5" thickBot="1">
      <c r="A14" s="5"/>
      <c r="B14" s="10"/>
      <c r="C14" s="10"/>
      <c r="D14" s="10"/>
      <c r="E14" s="10"/>
      <c r="F14" s="10"/>
      <c r="G14" s="10"/>
      <c r="H14" s="9"/>
      <c r="I14" s="9"/>
      <c r="J14" s="9"/>
      <c r="K14" s="29"/>
      <c r="L14" s="30"/>
      <c r="M14" s="82"/>
      <c r="N14" s="280"/>
      <c r="O14" s="279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B14" s="4"/>
    </row>
    <row r="15" spans="1:28" ht="24" thickBot="1">
      <c r="A15" s="4"/>
      <c r="B15" s="57" t="s">
        <v>7</v>
      </c>
      <c r="C15" s="31" t="s">
        <v>47</v>
      </c>
      <c r="D15" s="32" t="s">
        <v>49</v>
      </c>
      <c r="E15" s="266" t="s">
        <v>8</v>
      </c>
      <c r="F15" s="32" t="s">
        <v>9</v>
      </c>
      <c r="G15" s="32" t="s">
        <v>93</v>
      </c>
      <c r="H15" s="32" t="s">
        <v>11</v>
      </c>
      <c r="I15" s="32" t="s">
        <v>12</v>
      </c>
      <c r="J15" s="32" t="s">
        <v>13</v>
      </c>
      <c r="K15" s="32" t="s">
        <v>92</v>
      </c>
      <c r="L15" s="33" t="s">
        <v>51</v>
      </c>
      <c r="M15" s="83" t="s">
        <v>15</v>
      </c>
      <c r="N15" s="281"/>
      <c r="O15" s="28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B15" s="4"/>
    </row>
    <row r="16" spans="1:28" ht="12.75">
      <c r="A16" s="4"/>
      <c r="B16" s="167">
        <f>C16/COS($F$6/180*PI())</f>
        <v>0</v>
      </c>
      <c r="C16" s="168">
        <v>0</v>
      </c>
      <c r="D16" s="34">
        <f aca="true" t="shared" si="0" ref="D16:D61">C16/0.9144</f>
        <v>0</v>
      </c>
      <c r="E16" s="222">
        <f>$F$3</f>
        <v>1000</v>
      </c>
      <c r="F16" s="34">
        <f>F9</f>
        <v>867.6051608341709</v>
      </c>
      <c r="G16" s="34">
        <f>$F$10</f>
        <v>-497.253742966217</v>
      </c>
      <c r="H16" s="35">
        <f>ATAN(G16/F16)*(180/3.14159)</f>
        <v>-29.818499999999986</v>
      </c>
      <c r="I16" s="34">
        <f aca="true" t="shared" si="1" ref="I16:I61">1/TAN(H16/180*PI())</f>
        <v>-1.744791847368153</v>
      </c>
      <c r="J16" s="36">
        <f>0</f>
        <v>0</v>
      </c>
      <c r="K16" s="34">
        <v>0</v>
      </c>
      <c r="L16" s="37">
        <f aca="true" t="shared" si="2" ref="L16:L61">K16*2.54</f>
        <v>0</v>
      </c>
      <c r="M16" s="84"/>
      <c r="N16" s="283"/>
      <c r="O16" s="28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B16" s="4"/>
    </row>
    <row r="17" spans="1:28" ht="12.75">
      <c r="A17" s="4"/>
      <c r="B17" s="169">
        <f aca="true" t="shared" si="3" ref="B17:B61">C17/COS($F$6/180*PI())</f>
        <v>2.309401076758503</v>
      </c>
      <c r="C17" s="170">
        <f>C16+$F$12</f>
        <v>2</v>
      </c>
      <c r="D17" s="38">
        <f>C17/0.9144027</f>
        <v>2.1872201383482355</v>
      </c>
      <c r="E17" s="223">
        <f>SQRT(F17^2+G17^2)</f>
        <v>1000.1210607040091</v>
      </c>
      <c r="F17" s="38">
        <f>F16</f>
        <v>867.6051608341709</v>
      </c>
      <c r="G17" s="38">
        <f>$F$10-32.185*J17</f>
        <v>-497.4971567332065</v>
      </c>
      <c r="H17" s="39">
        <f>ATAN(G17/F17)*(180/PI())</f>
        <v>-29.830573474914086</v>
      </c>
      <c r="I17" s="38">
        <f t="shared" si="1"/>
        <v>-1.7439399383330403</v>
      </c>
      <c r="J17" s="40">
        <f>D17*3/$F$9</f>
        <v>0.007562956873995433</v>
      </c>
      <c r="K17" s="38">
        <f>12*($F$10*J17-0.5*32.185*J17^2)-TAN($F$6*PI()/180)*D17*36</f>
        <v>0.3209679547142841</v>
      </c>
      <c r="L17" s="41">
        <f>K17*2.54</f>
        <v>0.8152586049742816</v>
      </c>
      <c r="M17" s="84"/>
      <c r="N17" s="283"/>
      <c r="O17" s="28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169">
        <f t="shared" si="3"/>
        <v>4.618802153517006</v>
      </c>
      <c r="C18" s="170">
        <f aca="true" t="shared" si="4" ref="C18:C61">C17+$F$12</f>
        <v>4</v>
      </c>
      <c r="D18" s="38">
        <f t="shared" si="0"/>
        <v>4.374453193350831</v>
      </c>
      <c r="E18" s="223">
        <f>SQRT(F18^2+G18^2)</f>
        <v>1000.2421667071106</v>
      </c>
      <c r="F18" s="38">
        <f aca="true" t="shared" si="5" ref="F18:F61">F17</f>
        <v>867.6051608341709</v>
      </c>
      <c r="G18" s="38">
        <f aca="true" t="shared" si="6" ref="G18:G61">$F$10-32.185*J18</f>
        <v>-497.74057193767896</v>
      </c>
      <c r="H18" s="39">
        <f aca="true" t="shared" si="7" ref="H18:H61">ATAN(G18/F18)*(180/PI())</f>
        <v>-29.842669278685424</v>
      </c>
      <c r="I18" s="38">
        <f t="shared" si="1"/>
        <v>-1.743087081401919</v>
      </c>
      <c r="J18" s="40">
        <f aca="true" t="shared" si="8" ref="J18:J61">D18*3/$F$9</f>
        <v>0.015125958411122013</v>
      </c>
      <c r="K18" s="38">
        <f aca="true" t="shared" si="9" ref="K18:K61">12*($F$10*J18-0.5*32.185*J18^2)-TAN($F$6*PI()/180)*D18*36</f>
        <v>0.6198464753517072</v>
      </c>
      <c r="L18" s="41">
        <f t="shared" si="2"/>
        <v>1.5744100473933365</v>
      </c>
      <c r="M18" s="84"/>
      <c r="N18" s="283"/>
      <c r="O18" s="28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"/>
      <c r="AB18" s="4"/>
    </row>
    <row r="19" spans="1:28" ht="12.75">
      <c r="A19" s="4"/>
      <c r="B19" s="169">
        <f t="shared" si="3"/>
        <v>6.928203230275509</v>
      </c>
      <c r="C19" s="170">
        <f t="shared" si="4"/>
        <v>6</v>
      </c>
      <c r="D19" s="38">
        <f t="shared" si="0"/>
        <v>6.561679790026247</v>
      </c>
      <c r="E19" s="223">
        <f>SQRT(F19^2+G19^2)</f>
        <v>1000.3633169205268</v>
      </c>
      <c r="F19" s="38">
        <f t="shared" si="5"/>
        <v>867.6051608341709</v>
      </c>
      <c r="G19" s="38">
        <f t="shared" si="6"/>
        <v>-497.98398642340993</v>
      </c>
      <c r="H19" s="39">
        <f t="shared" si="7"/>
        <v>-29.854762117530193</v>
      </c>
      <c r="I19" s="38">
        <f t="shared" si="1"/>
        <v>-1.7422350607404695</v>
      </c>
      <c r="J19" s="40">
        <f t="shared" si="8"/>
        <v>0.02268893761668302</v>
      </c>
      <c r="K19" s="38">
        <f t="shared" si="9"/>
        <v>0.8966328165371067</v>
      </c>
      <c r="L19" s="41">
        <f t="shared" si="2"/>
        <v>2.2774473540042512</v>
      </c>
      <c r="M19" s="84"/>
      <c r="N19" s="283"/>
      <c r="O19" s="28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"/>
      <c r="AB19" s="4"/>
    </row>
    <row r="20" spans="1:28" ht="12.75">
      <c r="A20" s="4"/>
      <c r="B20" s="169">
        <f t="shared" si="3"/>
        <v>9.237604307034012</v>
      </c>
      <c r="C20" s="170">
        <f t="shared" si="4"/>
        <v>8</v>
      </c>
      <c r="D20" s="38">
        <f t="shared" si="0"/>
        <v>8.748906386701663</v>
      </c>
      <c r="E20" s="223">
        <f>SQRT(F20^2+G20^2)</f>
        <v>1000.484511685596</v>
      </c>
      <c r="F20" s="38">
        <f t="shared" si="5"/>
        <v>867.6051608341709</v>
      </c>
      <c r="G20" s="38">
        <f t="shared" si="6"/>
        <v>-498.2274009091409</v>
      </c>
      <c r="H20" s="39">
        <f t="shared" si="7"/>
        <v>-29.866852027155385</v>
      </c>
      <c r="I20" s="38">
        <f t="shared" si="1"/>
        <v>-1.741383872607182</v>
      </c>
      <c r="J20" s="40">
        <f t="shared" si="8"/>
        <v>0.030251916822244027</v>
      </c>
      <c r="K20" s="38">
        <f t="shared" si="9"/>
        <v>1.151327893395461</v>
      </c>
      <c r="L20" s="41">
        <f t="shared" si="2"/>
        <v>2.9243728492244707</v>
      </c>
      <c r="M20" s="84"/>
      <c r="N20" s="283"/>
      <c r="O20" s="28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"/>
      <c r="AB20" s="4"/>
    </row>
    <row r="21" spans="1:28" ht="12.75">
      <c r="A21" s="4"/>
      <c r="B21" s="169">
        <f t="shared" si="3"/>
        <v>11.547005383792515</v>
      </c>
      <c r="C21" s="258">
        <f t="shared" si="4"/>
        <v>10</v>
      </c>
      <c r="D21" s="43">
        <f t="shared" si="0"/>
        <v>10.936132983377078</v>
      </c>
      <c r="E21" s="224">
        <f>SQRT(F21^2+G21^2)</f>
        <v>1000.6057509861294</v>
      </c>
      <c r="F21" s="43">
        <f t="shared" si="5"/>
        <v>867.6051608341709</v>
      </c>
      <c r="G21" s="43">
        <f t="shared" si="6"/>
        <v>-498.47081539487186</v>
      </c>
      <c r="H21" s="44">
        <f t="shared" si="7"/>
        <v>-29.87893900754898</v>
      </c>
      <c r="I21" s="43">
        <f t="shared" si="1"/>
        <v>-1.74053351578243</v>
      </c>
      <c r="J21" s="45">
        <f t="shared" si="8"/>
        <v>0.03781489602780503</v>
      </c>
      <c r="K21" s="43">
        <f t="shared" si="9"/>
        <v>1.3839317059268978</v>
      </c>
      <c r="L21" s="46">
        <f t="shared" si="2"/>
        <v>3.5151865330543206</v>
      </c>
      <c r="M21" s="84">
        <f>0.5*ASIN(9.81*C21/$F$4^2)*180/PI()</f>
        <v>0.030250447212266753</v>
      </c>
      <c r="N21" s="283"/>
      <c r="O21" s="92">
        <f>ASIN(9.81*C21*COS($F$6/180*PI())/(2*$F$4^2*COS(($F$5+$F$6)/180*PI())))*180/PI()</f>
        <v>0.03019536983972056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2.75">
      <c r="B22" s="169">
        <f t="shared" si="3"/>
        <v>13.856406460551018</v>
      </c>
      <c r="C22" s="170">
        <f t="shared" si="4"/>
        <v>12</v>
      </c>
      <c r="D22" s="38">
        <f t="shared" si="0"/>
        <v>13.123359580052494</v>
      </c>
      <c r="E22" s="223">
        <f>SQRT(F22^2+G22^2)</f>
        <v>1000.7270348059407</v>
      </c>
      <c r="F22" s="38">
        <f t="shared" si="5"/>
        <v>867.6051608341709</v>
      </c>
      <c r="G22" s="38">
        <f t="shared" si="6"/>
        <v>-498.7142298806029</v>
      </c>
      <c r="H22" s="39">
        <f t="shared" si="7"/>
        <v>-29.891023058699997</v>
      </c>
      <c r="I22" s="38">
        <f t="shared" si="1"/>
        <v>-1.7396839890489673</v>
      </c>
      <c r="J22" s="40">
        <f t="shared" si="8"/>
        <v>0.04537787523336604</v>
      </c>
      <c r="K22" s="38">
        <f t="shared" si="9"/>
        <v>1.5944442541313038</v>
      </c>
      <c r="L22" s="41">
        <f t="shared" si="2"/>
        <v>4.049888405493512</v>
      </c>
      <c r="M22" s="84"/>
      <c r="N22" s="283"/>
      <c r="AA22" s="4"/>
      <c r="AB22" s="4"/>
    </row>
    <row r="23" spans="2:28" ht="12.75">
      <c r="B23" s="169">
        <f t="shared" si="3"/>
        <v>16.16580753730952</v>
      </c>
      <c r="C23" s="170">
        <f t="shared" si="4"/>
        <v>14</v>
      </c>
      <c r="D23" s="38">
        <f t="shared" si="0"/>
        <v>15.31058617672791</v>
      </c>
      <c r="E23" s="223">
        <f>SQRT(F23^2+G23^2)</f>
        <v>1000.848363128845</v>
      </c>
      <c r="F23" s="38">
        <f t="shared" si="5"/>
        <v>867.6051608341709</v>
      </c>
      <c r="G23" s="38">
        <f t="shared" si="6"/>
        <v>-498.95764436633385</v>
      </c>
      <c r="H23" s="39">
        <f t="shared" si="7"/>
        <v>-29.90310418059849</v>
      </c>
      <c r="I23" s="38">
        <f t="shared" si="1"/>
        <v>-1.7388352911919245</v>
      </c>
      <c r="J23" s="40">
        <f t="shared" si="8"/>
        <v>0.05294085443892704</v>
      </c>
      <c r="K23" s="38">
        <f t="shared" si="9"/>
        <v>1.782865538008707</v>
      </c>
      <c r="L23" s="41">
        <f t="shared" si="2"/>
        <v>4.528478466542116</v>
      </c>
      <c r="M23" s="84"/>
      <c r="N23" s="283"/>
      <c r="O23" s="28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169">
        <f t="shared" si="3"/>
        <v>18.475208614068023</v>
      </c>
      <c r="C24" s="170">
        <f t="shared" si="4"/>
        <v>16</v>
      </c>
      <c r="D24" s="38">
        <f t="shared" si="0"/>
        <v>17.497812773403325</v>
      </c>
      <c r="E24" s="223">
        <f>SQRT(F24^2+G24^2)</f>
        <v>1000.9697359386597</v>
      </c>
      <c r="F24" s="38">
        <f t="shared" si="5"/>
        <v>867.6051608341709</v>
      </c>
      <c r="G24" s="38">
        <f t="shared" si="6"/>
        <v>-499.2010588520648</v>
      </c>
      <c r="H24" s="39">
        <f t="shared" si="7"/>
        <v>-29.915182373235584</v>
      </c>
      <c r="I24" s="38">
        <f t="shared" si="1"/>
        <v>-1.7379874209988013</v>
      </c>
      <c r="J24" s="40">
        <f t="shared" si="8"/>
        <v>0.06050383364448805</v>
      </c>
      <c r="K24" s="38">
        <f t="shared" si="9"/>
        <v>1.9491955575591078</v>
      </c>
      <c r="L24" s="41">
        <f t="shared" si="2"/>
        <v>4.950956716200134</v>
      </c>
      <c r="M24" s="84"/>
      <c r="N24" s="283"/>
      <c r="O24" s="28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4"/>
      <c r="B25" s="169">
        <f t="shared" si="3"/>
        <v>20.784609690826525</v>
      </c>
      <c r="C25" s="170">
        <f t="shared" si="4"/>
        <v>18</v>
      </c>
      <c r="D25" s="38">
        <f t="shared" si="0"/>
        <v>19.68503937007874</v>
      </c>
      <c r="E25" s="223">
        <f>SQRT(F25^2+G25^2)</f>
        <v>1001.091153219204</v>
      </c>
      <c r="F25" s="38">
        <f t="shared" si="5"/>
        <v>867.6051608341709</v>
      </c>
      <c r="G25" s="38">
        <f t="shared" si="6"/>
        <v>-499.4444733377958</v>
      </c>
      <c r="H25" s="39">
        <f t="shared" si="7"/>
        <v>-29.927257636603436</v>
      </c>
      <c r="I25" s="38">
        <f t="shared" si="1"/>
        <v>-1.73714037725946</v>
      </c>
      <c r="J25" s="40">
        <f t="shared" si="8"/>
        <v>0.06806681285004906</v>
      </c>
      <c r="K25" s="38">
        <f t="shared" si="9"/>
        <v>2.0934343127825628</v>
      </c>
      <c r="L25" s="41">
        <f t="shared" si="2"/>
        <v>5.31732315446771</v>
      </c>
      <c r="M25" s="84"/>
      <c r="N25" s="283"/>
      <c r="O25" s="28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4"/>
      <c r="B26" s="169">
        <f t="shared" si="3"/>
        <v>23.09401076758503</v>
      </c>
      <c r="C26" s="258">
        <f t="shared" si="4"/>
        <v>20</v>
      </c>
      <c r="D26" s="43">
        <f t="shared" si="0"/>
        <v>21.872265966754156</v>
      </c>
      <c r="E26" s="224">
        <f>SQRT(F26^2+G26^2)</f>
        <v>1001.2126149542988</v>
      </c>
      <c r="F26" s="43">
        <f t="shared" si="5"/>
        <v>867.6051608341709</v>
      </c>
      <c r="G26" s="43">
        <f t="shared" si="6"/>
        <v>-499.6878878235268</v>
      </c>
      <c r="H26" s="44">
        <f t="shared" si="7"/>
        <v>-29.93932997069525</v>
      </c>
      <c r="I26" s="43">
        <f t="shared" si="1"/>
        <v>-1.7362941587661218</v>
      </c>
      <c r="J26" s="45">
        <f t="shared" si="8"/>
        <v>0.07562979205561006</v>
      </c>
      <c r="K26" s="43">
        <f t="shared" si="9"/>
        <v>2.215581803679015</v>
      </c>
      <c r="L26" s="46">
        <f t="shared" si="2"/>
        <v>5.627577781344699</v>
      </c>
      <c r="M26" s="84">
        <f>0.5*ASIN(9.81*C26/$F$4^2)*180/PI()</f>
        <v>0.06050092815411654</v>
      </c>
      <c r="N26" s="283"/>
      <c r="O26" s="92">
        <f>ASIN(9.81*C26*COS($F$6/180*PI())/(2*$F$4^2*COS(($F$5+$F$6)/180*PI())))*180/PI()</f>
        <v>0.06039074806584949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4"/>
      <c r="B27" s="169">
        <f t="shared" si="3"/>
        <v>25.40341184434353</v>
      </c>
      <c r="C27" s="170">
        <f t="shared" si="4"/>
        <v>22</v>
      </c>
      <c r="D27" s="38">
        <f t="shared" si="0"/>
        <v>24.059492563429572</v>
      </c>
      <c r="E27" s="223">
        <f aca="true" t="shared" si="10" ref="E27:E60">SQRT(F27^2+G27^2)</f>
        <v>1001.3341211277673</v>
      </c>
      <c r="F27" s="38">
        <f t="shared" si="5"/>
        <v>867.6051608341709</v>
      </c>
      <c r="G27" s="38">
        <f t="shared" si="6"/>
        <v>-499.9313023092578</v>
      </c>
      <c r="H27" s="39">
        <f t="shared" si="7"/>
        <v>-29.951399375505265</v>
      </c>
      <c r="I27" s="38">
        <f t="shared" si="1"/>
        <v>-1.7354487643133616</v>
      </c>
      <c r="J27" s="40">
        <f t="shared" si="8"/>
        <v>0.08319277126117107</v>
      </c>
      <c r="K27" s="38">
        <f t="shared" si="9"/>
        <v>2.3156380302485218</v>
      </c>
      <c r="L27" s="41">
        <f t="shared" si="2"/>
        <v>5.881720596831245</v>
      </c>
      <c r="M27" s="84"/>
      <c r="N27" s="283"/>
      <c r="O27" s="28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4"/>
      <c r="B28" s="169">
        <f t="shared" si="3"/>
        <v>27.712812921102035</v>
      </c>
      <c r="C28" s="170">
        <f t="shared" si="4"/>
        <v>24</v>
      </c>
      <c r="D28" s="38">
        <f t="shared" si="0"/>
        <v>26.246719160104988</v>
      </c>
      <c r="E28" s="223">
        <f t="shared" si="10"/>
        <v>1001.4556717234342</v>
      </c>
      <c r="F28" s="38">
        <f t="shared" si="5"/>
        <v>867.6051608341709</v>
      </c>
      <c r="G28" s="38">
        <f t="shared" si="6"/>
        <v>-500.17471679498874</v>
      </c>
      <c r="H28" s="39">
        <f t="shared" si="7"/>
        <v>-29.963465851028783</v>
      </c>
      <c r="I28" s="38">
        <f t="shared" si="1"/>
        <v>-1.7346041926980973</v>
      </c>
      <c r="J28" s="40">
        <f t="shared" si="8"/>
        <v>0.09075575046673208</v>
      </c>
      <c r="K28" s="38">
        <f t="shared" si="9"/>
        <v>2.393602992490969</v>
      </c>
      <c r="L28" s="41">
        <f t="shared" si="2"/>
        <v>6.079751600927061</v>
      </c>
      <c r="M28" s="84"/>
      <c r="N28" s="283"/>
      <c r="O28" s="28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4"/>
      <c r="B29" s="169">
        <f t="shared" si="3"/>
        <v>30.022213997860536</v>
      </c>
      <c r="C29" s="170">
        <f t="shared" si="4"/>
        <v>26</v>
      </c>
      <c r="D29" s="38">
        <f t="shared" si="0"/>
        <v>28.433945756780403</v>
      </c>
      <c r="E29" s="223">
        <f t="shared" si="10"/>
        <v>1001.5772667251265</v>
      </c>
      <c r="F29" s="38">
        <f t="shared" si="5"/>
        <v>867.6051608341709</v>
      </c>
      <c r="G29" s="38">
        <f t="shared" si="6"/>
        <v>-500.4181312807197</v>
      </c>
      <c r="H29" s="39">
        <f t="shared" si="7"/>
        <v>-29.97552939726213</v>
      </c>
      <c r="I29" s="38">
        <f t="shared" si="1"/>
        <v>-1.7337604427195907</v>
      </c>
      <c r="J29" s="40">
        <f t="shared" si="8"/>
        <v>0.09831872967229309</v>
      </c>
      <c r="K29" s="38">
        <f t="shared" si="9"/>
        <v>2.4494766904065273</v>
      </c>
      <c r="L29" s="41">
        <f t="shared" si="2"/>
        <v>6.22167079363258</v>
      </c>
      <c r="M29" s="84"/>
      <c r="N29" s="283"/>
      <c r="O29" s="28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4"/>
      <c r="B30" s="169">
        <f t="shared" si="3"/>
        <v>32.33161507461904</v>
      </c>
      <c r="C30" s="170">
        <f t="shared" si="4"/>
        <v>28</v>
      </c>
      <c r="D30" s="38">
        <f t="shared" si="0"/>
        <v>30.62117235345582</v>
      </c>
      <c r="E30" s="223">
        <f t="shared" si="10"/>
        <v>1001.698906116673</v>
      </c>
      <c r="F30" s="38">
        <f t="shared" si="5"/>
        <v>867.6051608341709</v>
      </c>
      <c r="G30" s="38">
        <f t="shared" si="6"/>
        <v>-500.66154576645073</v>
      </c>
      <c r="H30" s="39">
        <f t="shared" si="7"/>
        <v>-29.987590014202677</v>
      </c>
      <c r="I30" s="38">
        <f t="shared" si="1"/>
        <v>-1.7329175131794374</v>
      </c>
      <c r="J30" s="40">
        <f t="shared" si="8"/>
        <v>0.10588170887785409</v>
      </c>
      <c r="K30" s="38">
        <f t="shared" si="9"/>
        <v>2.483259123995026</v>
      </c>
      <c r="L30" s="41">
        <f t="shared" si="2"/>
        <v>6.3074781749473665</v>
      </c>
      <c r="M30" s="84"/>
      <c r="N30" s="283"/>
      <c r="O30" s="28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4"/>
      <c r="B31" s="169">
        <f t="shared" si="3"/>
        <v>34.64101615137754</v>
      </c>
      <c r="C31" s="258">
        <f t="shared" si="4"/>
        <v>30</v>
      </c>
      <c r="D31" s="43">
        <f t="shared" si="0"/>
        <v>32.808398950131235</v>
      </c>
      <c r="E31" s="224">
        <f t="shared" si="10"/>
        <v>1001.8205898819045</v>
      </c>
      <c r="F31" s="43">
        <f t="shared" si="5"/>
        <v>867.6051608341709</v>
      </c>
      <c r="G31" s="43">
        <f t="shared" si="6"/>
        <v>-500.9049602521817</v>
      </c>
      <c r="H31" s="44">
        <f t="shared" si="7"/>
        <v>-29.999647701848836</v>
      </c>
      <c r="I31" s="43">
        <f t="shared" si="1"/>
        <v>-1.732075402881563</v>
      </c>
      <c r="J31" s="45">
        <f t="shared" si="8"/>
        <v>0.1134446880834151</v>
      </c>
      <c r="K31" s="43">
        <f t="shared" si="9"/>
        <v>2.494950293256352</v>
      </c>
      <c r="L31" s="46">
        <f t="shared" si="2"/>
        <v>6.337173744871134</v>
      </c>
      <c r="M31" s="84">
        <f>0.5*ASIN(9.81*C31/$F$4^2)*180/PI()</f>
        <v>0.09075147655547086</v>
      </c>
      <c r="N31" s="283"/>
      <c r="O31" s="92">
        <f>ASIN(9.81*C31*COS($F$6/180*PI())/(2*$F$4^2*COS(($F$5+$F$6)/180*PI())))*180/PI()</f>
        <v>0.09058614306481613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4"/>
      <c r="B32" s="169">
        <f t="shared" si="3"/>
        <v>36.95041722813605</v>
      </c>
      <c r="C32" s="170">
        <f t="shared" si="4"/>
        <v>32</v>
      </c>
      <c r="D32" s="38">
        <f t="shared" si="0"/>
        <v>34.99562554680665</v>
      </c>
      <c r="E32" s="223">
        <f t="shared" si="10"/>
        <v>1001.9423180046538</v>
      </c>
      <c r="F32" s="38">
        <f t="shared" si="5"/>
        <v>867.6051608341709</v>
      </c>
      <c r="G32" s="38">
        <f t="shared" si="6"/>
        <v>-501.14837473791266</v>
      </c>
      <c r="H32" s="39">
        <f t="shared" si="7"/>
        <v>-30.01170246020006</v>
      </c>
      <c r="I32" s="38">
        <f t="shared" si="1"/>
        <v>-1.7312341106322167</v>
      </c>
      <c r="J32" s="40">
        <f t="shared" si="8"/>
        <v>0.1210076672889761</v>
      </c>
      <c r="K32" s="38">
        <f t="shared" si="9"/>
        <v>2.4845501981909592</v>
      </c>
      <c r="L32" s="41">
        <f t="shared" si="2"/>
        <v>6.3107575034050365</v>
      </c>
      <c r="M32" s="84"/>
      <c r="N32" s="283"/>
      <c r="AA32" s="4"/>
      <c r="AB32" s="4"/>
    </row>
    <row r="33" spans="1:14" ht="12.75">
      <c r="A33" s="4"/>
      <c r="B33" s="169">
        <f t="shared" si="3"/>
        <v>39.25981830489455</v>
      </c>
      <c r="C33" s="170">
        <f t="shared" si="4"/>
        <v>34</v>
      </c>
      <c r="D33" s="38">
        <f t="shared" si="0"/>
        <v>37.182852143482066</v>
      </c>
      <c r="E33" s="223">
        <f t="shared" si="10"/>
        <v>1002.0640904687555</v>
      </c>
      <c r="F33" s="38">
        <f t="shared" si="5"/>
        <v>867.6051608341709</v>
      </c>
      <c r="G33" s="38">
        <f t="shared" si="6"/>
        <v>-501.3917892236436</v>
      </c>
      <c r="H33" s="39">
        <f t="shared" si="7"/>
        <v>-30.023754289256843</v>
      </c>
      <c r="I33" s="38">
        <f t="shared" si="1"/>
        <v>-1.7303936352399643</v>
      </c>
      <c r="J33" s="40">
        <f t="shared" si="8"/>
        <v>0.12857064649453712</v>
      </c>
      <c r="K33" s="38">
        <f t="shared" si="9"/>
        <v>2.452058838798621</v>
      </c>
      <c r="L33" s="41">
        <f t="shared" si="2"/>
        <v>6.228229450548497</v>
      </c>
      <c r="M33" s="84"/>
      <c r="N33" s="283"/>
    </row>
    <row r="34" spans="2:14" ht="12.75">
      <c r="B34" s="169">
        <f t="shared" si="3"/>
        <v>41.56921938165305</v>
      </c>
      <c r="C34" s="170">
        <f t="shared" si="4"/>
        <v>36</v>
      </c>
      <c r="D34" s="38">
        <f t="shared" si="0"/>
        <v>39.37007874015748</v>
      </c>
      <c r="E34" s="223">
        <f t="shared" si="10"/>
        <v>1002.1859072580462</v>
      </c>
      <c r="F34" s="38">
        <f t="shared" si="5"/>
        <v>867.6051608341709</v>
      </c>
      <c r="G34" s="38">
        <f t="shared" si="6"/>
        <v>-501.63520370937465</v>
      </c>
      <c r="H34" s="39">
        <f t="shared" si="7"/>
        <v>-30.035803189020697</v>
      </c>
      <c r="I34" s="38">
        <f t="shared" si="1"/>
        <v>-1.729553975515688</v>
      </c>
      <c r="J34" s="40">
        <f t="shared" si="8"/>
        <v>0.13613362570009813</v>
      </c>
      <c r="K34" s="38">
        <f t="shared" si="9"/>
        <v>2.3974762150789957</v>
      </c>
      <c r="L34" s="41">
        <f t="shared" si="2"/>
        <v>6.089589586300649</v>
      </c>
      <c r="M34" s="84"/>
      <c r="N34" s="283"/>
    </row>
    <row r="35" spans="2:14" ht="12.75">
      <c r="B35" s="169">
        <f t="shared" si="3"/>
        <v>43.878620458411554</v>
      </c>
      <c r="C35" s="170">
        <f t="shared" si="4"/>
        <v>38</v>
      </c>
      <c r="D35" s="38">
        <f t="shared" si="0"/>
        <v>41.5573053368329</v>
      </c>
      <c r="E35" s="223">
        <f t="shared" si="10"/>
        <v>1002.3077683563647</v>
      </c>
      <c r="F35" s="38">
        <f t="shared" si="5"/>
        <v>867.6051608341709</v>
      </c>
      <c r="G35" s="38">
        <f t="shared" si="6"/>
        <v>-501.8786181951056</v>
      </c>
      <c r="H35" s="39">
        <f t="shared" si="7"/>
        <v>-30.047849159494188</v>
      </c>
      <c r="I35" s="38">
        <f t="shared" si="1"/>
        <v>-1.728715130272573</v>
      </c>
      <c r="J35" s="40">
        <f t="shared" si="8"/>
        <v>0.14369660490565914</v>
      </c>
      <c r="K35" s="38">
        <f t="shared" si="9"/>
        <v>2.3208023270325384</v>
      </c>
      <c r="L35" s="41">
        <f t="shared" si="2"/>
        <v>5.894837910662647</v>
      </c>
      <c r="M35" s="84"/>
      <c r="N35" s="283"/>
    </row>
    <row r="36" spans="2:15" ht="12.75">
      <c r="B36" s="169">
        <f t="shared" si="3"/>
        <v>46.18802153517006</v>
      </c>
      <c r="C36" s="258">
        <f t="shared" si="4"/>
        <v>40</v>
      </c>
      <c r="D36" s="43">
        <f t="shared" si="0"/>
        <v>43.74453193350831</v>
      </c>
      <c r="E36" s="224">
        <f t="shared" si="10"/>
        <v>1002.4296737475515</v>
      </c>
      <c r="F36" s="43">
        <f t="shared" si="5"/>
        <v>867.6051608341709</v>
      </c>
      <c r="G36" s="43">
        <f t="shared" si="6"/>
        <v>-502.1220326808366</v>
      </c>
      <c r="H36" s="44">
        <f t="shared" si="7"/>
        <v>-30.059892200680913</v>
      </c>
      <c r="I36" s="43">
        <f t="shared" si="1"/>
        <v>-1.7278770983261076</v>
      </c>
      <c r="J36" s="45">
        <f t="shared" si="8"/>
        <v>0.15125958411122012</v>
      </c>
      <c r="K36" s="43">
        <f t="shared" si="9"/>
        <v>2.2220371746591354</v>
      </c>
      <c r="L36" s="46">
        <f t="shared" si="2"/>
        <v>5.643974423634204</v>
      </c>
      <c r="M36" s="84">
        <f>0.5*ASIN(9.81*C36/$F$4^2)*180/PI()</f>
        <v>0.12100212614692825</v>
      </c>
      <c r="N36" s="283"/>
      <c r="O36" s="92">
        <f>ASIN(9.81*C36*COS($F$6/180*PI())/(2*$F$4^2*COS(($F$5+$F$6)/180*PI())))*180/PI()</f>
        <v>0.12078156322309172</v>
      </c>
    </row>
    <row r="37" spans="2:14" ht="12.75">
      <c r="B37" s="169">
        <f t="shared" si="3"/>
        <v>48.49742261192856</v>
      </c>
      <c r="C37" s="170">
        <f t="shared" si="4"/>
        <v>42</v>
      </c>
      <c r="D37" s="38">
        <f t="shared" si="0"/>
        <v>45.93175853018373</v>
      </c>
      <c r="E37" s="223">
        <f t="shared" si="10"/>
        <v>1002.5516234154493</v>
      </c>
      <c r="F37" s="38">
        <f t="shared" si="5"/>
        <v>867.6051608341709</v>
      </c>
      <c r="G37" s="38">
        <f t="shared" si="6"/>
        <v>-502.36544716656755</v>
      </c>
      <c r="H37" s="39">
        <f t="shared" si="7"/>
        <v>-30.071932312585506</v>
      </c>
      <c r="I37" s="38">
        <f t="shared" si="1"/>
        <v>-1.7270398784940757</v>
      </c>
      <c r="J37" s="40">
        <f t="shared" si="8"/>
        <v>0.15882256331678113</v>
      </c>
      <c r="K37" s="38">
        <f t="shared" si="9"/>
        <v>2.1011807579587867</v>
      </c>
      <c r="L37" s="41">
        <f t="shared" si="2"/>
        <v>5.336999125215319</v>
      </c>
      <c r="M37" s="84"/>
      <c r="N37" s="283"/>
    </row>
    <row r="38" spans="2:14" ht="12.75">
      <c r="B38" s="169">
        <f t="shared" si="3"/>
        <v>50.80682368868706</v>
      </c>
      <c r="C38" s="170">
        <f t="shared" si="4"/>
        <v>44</v>
      </c>
      <c r="D38" s="38">
        <f t="shared" si="0"/>
        <v>48.118985126859144</v>
      </c>
      <c r="E38" s="223">
        <f t="shared" si="10"/>
        <v>1002.6736173439026</v>
      </c>
      <c r="F38" s="38">
        <f t="shared" si="5"/>
        <v>867.6051608341709</v>
      </c>
      <c r="G38" s="38">
        <f t="shared" si="6"/>
        <v>-502.6088616522986</v>
      </c>
      <c r="H38" s="39">
        <f t="shared" si="7"/>
        <v>-30.083969495213616</v>
      </c>
      <c r="I38" s="38">
        <f t="shared" si="1"/>
        <v>-1.7262034695965514</v>
      </c>
      <c r="J38" s="40">
        <f t="shared" si="8"/>
        <v>0.16638554252234214</v>
      </c>
      <c r="K38" s="38">
        <f t="shared" si="9"/>
        <v>1.9582330769313785</v>
      </c>
      <c r="L38" s="41">
        <f t="shared" si="2"/>
        <v>4.973912015405701</v>
      </c>
      <c r="M38" s="84"/>
      <c r="N38" s="283"/>
    </row>
    <row r="39" spans="2:14" ht="12.75">
      <c r="B39" s="169">
        <f t="shared" si="3"/>
        <v>53.116224765445565</v>
      </c>
      <c r="C39" s="170">
        <f t="shared" si="4"/>
        <v>46</v>
      </c>
      <c r="D39" s="38">
        <f t="shared" si="0"/>
        <v>50.30621172353456</v>
      </c>
      <c r="E39" s="223">
        <f t="shared" si="10"/>
        <v>1002.7956555167581</v>
      </c>
      <c r="F39" s="38">
        <f t="shared" si="5"/>
        <v>867.6051608341709</v>
      </c>
      <c r="G39" s="38">
        <f t="shared" si="6"/>
        <v>-502.85227613802954</v>
      </c>
      <c r="H39" s="39">
        <f t="shared" si="7"/>
        <v>-30.096003748571935</v>
      </c>
      <c r="I39" s="38">
        <f t="shared" si="1"/>
        <v>-1.7253678704558935</v>
      </c>
      <c r="J39" s="40">
        <f t="shared" si="8"/>
        <v>0.17394852172790318</v>
      </c>
      <c r="K39" s="38">
        <f t="shared" si="9"/>
        <v>1.7931941315769109</v>
      </c>
      <c r="L39" s="41">
        <f t="shared" si="2"/>
        <v>4.554713094205353</v>
      </c>
      <c r="M39" s="84"/>
      <c r="N39" s="283"/>
    </row>
    <row r="40" spans="2:14" ht="12.75">
      <c r="B40" s="169">
        <f t="shared" si="3"/>
        <v>55.42562584220407</v>
      </c>
      <c r="C40" s="170">
        <f t="shared" si="4"/>
        <v>48</v>
      </c>
      <c r="D40" s="38">
        <f t="shared" si="0"/>
        <v>52.493438320209975</v>
      </c>
      <c r="E40" s="223">
        <f t="shared" si="10"/>
        <v>1002.9177379178644</v>
      </c>
      <c r="F40" s="38">
        <f t="shared" si="5"/>
        <v>867.6051608341709</v>
      </c>
      <c r="G40" s="38">
        <f t="shared" si="6"/>
        <v>-503.0956906237605</v>
      </c>
      <c r="H40" s="39">
        <f t="shared" si="7"/>
        <v>-30.1080350726682</v>
      </c>
      <c r="I40" s="38">
        <f t="shared" si="1"/>
        <v>-1.7245330798967393</v>
      </c>
      <c r="J40" s="40">
        <f t="shared" si="8"/>
        <v>0.18151150093346416</v>
      </c>
      <c r="K40" s="38">
        <f t="shared" si="9"/>
        <v>1.6060639218956112</v>
      </c>
      <c r="L40" s="41">
        <f t="shared" si="2"/>
        <v>4.079402361614853</v>
      </c>
      <c r="M40" s="84"/>
      <c r="N40" s="283"/>
    </row>
    <row r="41" spans="2:15" ht="12.75">
      <c r="B41" s="169">
        <f t="shared" si="3"/>
        <v>57.735026918962575</v>
      </c>
      <c r="C41" s="258">
        <f t="shared" si="4"/>
        <v>50</v>
      </c>
      <c r="D41" s="43">
        <f t="shared" si="0"/>
        <v>54.68066491688539</v>
      </c>
      <c r="E41" s="224">
        <f t="shared" si="10"/>
        <v>1003.039864531072</v>
      </c>
      <c r="F41" s="43">
        <f t="shared" si="5"/>
        <v>867.6051608341709</v>
      </c>
      <c r="G41" s="43">
        <f t="shared" si="6"/>
        <v>-503.3391051094915</v>
      </c>
      <c r="H41" s="44">
        <f t="shared" si="7"/>
        <v>-30.120063467511162</v>
      </c>
      <c r="I41" s="43">
        <f t="shared" si="1"/>
        <v>-1.7236990967460009</v>
      </c>
      <c r="J41" s="45">
        <f t="shared" si="8"/>
        <v>0.18907448013902514</v>
      </c>
      <c r="K41" s="43">
        <f t="shared" si="9"/>
        <v>1.3968424478871384</v>
      </c>
      <c r="L41" s="46">
        <f t="shared" si="2"/>
        <v>3.5479798176333315</v>
      </c>
      <c r="M41" s="84">
        <f>0.5*ASIN(9.81*C41/$F$4^2)*180/PI()</f>
        <v>0.15125291066010257</v>
      </c>
      <c r="N41" s="283"/>
      <c r="O41" s="92">
        <f>ASIN(9.81*C41*COS($F$6/180*PI())/(2*$F$4^2*COS(($F$5+$F$6)/180*PI())))*180/PI()</f>
        <v>0.15097701692721044</v>
      </c>
    </row>
    <row r="42" spans="2:14" ht="12.75">
      <c r="B42" s="169">
        <f t="shared" si="3"/>
        <v>60.04442799572107</v>
      </c>
      <c r="C42" s="170">
        <f t="shared" si="4"/>
        <v>52</v>
      </c>
      <c r="D42" s="38">
        <f t="shared" si="0"/>
        <v>56.86789151356081</v>
      </c>
      <c r="E42" s="223">
        <f t="shared" si="10"/>
        <v>1003.1620353402336</v>
      </c>
      <c r="F42" s="38">
        <f t="shared" si="5"/>
        <v>867.6051608341709</v>
      </c>
      <c r="G42" s="38">
        <f t="shared" si="6"/>
        <v>-503.5825195952225</v>
      </c>
      <c r="H42" s="39">
        <f t="shared" si="7"/>
        <v>-30.132088933110595</v>
      </c>
      <c r="I42" s="38">
        <f t="shared" si="1"/>
        <v>-1.7228659198328569</v>
      </c>
      <c r="J42" s="40">
        <f t="shared" si="8"/>
        <v>0.19663745934458618</v>
      </c>
      <c r="K42" s="38">
        <f t="shared" si="9"/>
        <v>1.1655297095519472</v>
      </c>
      <c r="L42" s="41">
        <f t="shared" si="2"/>
        <v>2.960445462261946</v>
      </c>
      <c r="M42" s="84"/>
      <c r="N42" s="283"/>
    </row>
    <row r="43" spans="2:14" ht="12.75">
      <c r="B43" s="169">
        <f t="shared" si="3"/>
        <v>62.35382907247958</v>
      </c>
      <c r="C43" s="170">
        <f t="shared" si="4"/>
        <v>54</v>
      </c>
      <c r="D43" s="38">
        <f t="shared" si="0"/>
        <v>59.05511811023622</v>
      </c>
      <c r="E43" s="223">
        <f t="shared" si="10"/>
        <v>1003.2842503292039</v>
      </c>
      <c r="F43" s="38">
        <f t="shared" si="5"/>
        <v>867.6051608341709</v>
      </c>
      <c r="G43" s="38">
        <f t="shared" si="6"/>
        <v>-503.82593408095346</v>
      </c>
      <c r="H43" s="39">
        <f t="shared" si="7"/>
        <v>-30.1441114694773</v>
      </c>
      <c r="I43" s="38">
        <f t="shared" si="1"/>
        <v>-1.722033547988751</v>
      </c>
      <c r="J43" s="40">
        <f t="shared" si="8"/>
        <v>0.2042004385501472</v>
      </c>
      <c r="K43" s="38">
        <f t="shared" si="9"/>
        <v>0.9121257068893556</v>
      </c>
      <c r="L43" s="41">
        <f t="shared" si="2"/>
        <v>2.316799295498963</v>
      </c>
      <c r="M43" s="84"/>
      <c r="N43" s="283"/>
    </row>
    <row r="44" spans="2:14" ht="12.75">
      <c r="B44" s="169">
        <f t="shared" si="3"/>
        <v>64.66323014923807</v>
      </c>
      <c r="C44" s="170">
        <f t="shared" si="4"/>
        <v>56</v>
      </c>
      <c r="D44" s="38">
        <f t="shared" si="0"/>
        <v>61.24234470691164</v>
      </c>
      <c r="E44" s="223">
        <f t="shared" si="10"/>
        <v>1003.4065094818396</v>
      </c>
      <c r="F44" s="38">
        <f t="shared" si="5"/>
        <v>867.6051608341709</v>
      </c>
      <c r="G44" s="38">
        <f t="shared" si="6"/>
        <v>-504.0693485666844</v>
      </c>
      <c r="H44" s="39">
        <f t="shared" si="7"/>
        <v>-30.156131076623126</v>
      </c>
      <c r="I44" s="38">
        <f t="shared" si="1"/>
        <v>-1.7212019800473817</v>
      </c>
      <c r="J44" s="40">
        <f t="shared" si="8"/>
        <v>0.21176341775570817</v>
      </c>
      <c r="K44" s="38">
        <f t="shared" si="9"/>
        <v>0.6366304399002729</v>
      </c>
      <c r="L44" s="41">
        <f t="shared" si="2"/>
        <v>1.617041317346693</v>
      </c>
      <c r="M44" s="84"/>
      <c r="N44" s="283"/>
    </row>
    <row r="45" spans="2:14" ht="12.75">
      <c r="B45" s="169">
        <f t="shared" si="3"/>
        <v>66.97263122599658</v>
      </c>
      <c r="C45" s="170">
        <f t="shared" si="4"/>
        <v>58</v>
      </c>
      <c r="D45" s="38">
        <f t="shared" si="0"/>
        <v>63.42957130358705</v>
      </c>
      <c r="E45" s="223">
        <f t="shared" si="10"/>
        <v>1003.5288127819995</v>
      </c>
      <c r="F45" s="38">
        <f t="shared" si="5"/>
        <v>867.6051608341709</v>
      </c>
      <c r="G45" s="38">
        <f t="shared" si="6"/>
        <v>-504.31276305241545</v>
      </c>
      <c r="H45" s="39">
        <f t="shared" si="7"/>
        <v>-30.168147754560938</v>
      </c>
      <c r="I45" s="38">
        <f t="shared" si="1"/>
        <v>-1.720371214844699</v>
      </c>
      <c r="J45" s="40">
        <f t="shared" si="8"/>
        <v>0.21932639696126918</v>
      </c>
      <c r="K45" s="38">
        <f t="shared" si="9"/>
        <v>0.33904390858378974</v>
      </c>
      <c r="L45" s="41">
        <f t="shared" si="2"/>
        <v>0.8611715278028259</v>
      </c>
      <c r="M45" s="84"/>
      <c r="N45" s="283"/>
    </row>
    <row r="46" spans="2:15" ht="12.75">
      <c r="B46" s="169">
        <f t="shared" si="3"/>
        <v>69.28203230275508</v>
      </c>
      <c r="C46" s="258">
        <f t="shared" si="4"/>
        <v>60</v>
      </c>
      <c r="D46" s="43">
        <f t="shared" si="0"/>
        <v>65.61679790026247</v>
      </c>
      <c r="E46" s="224">
        <f t="shared" si="10"/>
        <v>1003.651160213544</v>
      </c>
      <c r="F46" s="43">
        <f t="shared" si="5"/>
        <v>867.6051608341709</v>
      </c>
      <c r="G46" s="43">
        <f t="shared" si="6"/>
        <v>-504.5561775381464</v>
      </c>
      <c r="H46" s="44">
        <f t="shared" si="7"/>
        <v>-30.180161503304603</v>
      </c>
      <c r="I46" s="43">
        <f t="shared" si="1"/>
        <v>-1.7195412512189023</v>
      </c>
      <c r="J46" s="45">
        <f t="shared" si="8"/>
        <v>0.2268893761668302</v>
      </c>
      <c r="K46" s="43">
        <f t="shared" si="9"/>
        <v>0.019366112940360836</v>
      </c>
      <c r="L46" s="46">
        <f t="shared" si="2"/>
        <v>0.049189926868516524</v>
      </c>
      <c r="M46" s="84">
        <f>0.5*ASIN(9.81*C46/$F$4^2)*180/PI()</f>
        <v>0.1815038638279619</v>
      </c>
      <c r="N46" s="283"/>
      <c r="O46" s="92">
        <f>ASIN(9.81*C46*COS($F$6/180*PI())/(2*$F$4^2*COS(($F$5+$F$6)/180*PI())))*180/PI()</f>
        <v>0.18117251256379027</v>
      </c>
    </row>
    <row r="47" spans="2:14" ht="12.75">
      <c r="B47" s="169">
        <f t="shared" si="3"/>
        <v>71.59143337951359</v>
      </c>
      <c r="C47" s="170">
        <f t="shared" si="4"/>
        <v>62</v>
      </c>
      <c r="D47" s="257">
        <f t="shared" si="0"/>
        <v>67.80402449693788</v>
      </c>
      <c r="E47" s="223">
        <f t="shared" si="10"/>
        <v>1003.7735517603363</v>
      </c>
      <c r="F47" s="38">
        <f t="shared" si="5"/>
        <v>867.6051608341709</v>
      </c>
      <c r="G47" s="38">
        <f t="shared" si="6"/>
        <v>-504.7995920238774</v>
      </c>
      <c r="H47" s="39">
        <f t="shared" si="7"/>
        <v>-30.192172322869045</v>
      </c>
      <c r="I47" s="38">
        <f t="shared" si="1"/>
        <v>-1.7187120880104292</v>
      </c>
      <c r="J47" s="40">
        <f t="shared" si="8"/>
        <v>0.23445235537239123</v>
      </c>
      <c r="K47" s="38">
        <f t="shared" si="9"/>
        <v>-0.3224029470302412</v>
      </c>
      <c r="L47" s="41">
        <f t="shared" si="2"/>
        <v>-0.8189034854568127</v>
      </c>
      <c r="M47" s="84"/>
      <c r="N47" s="283"/>
    </row>
    <row r="48" spans="2:14" ht="12.75">
      <c r="B48" s="169">
        <f t="shared" si="3"/>
        <v>73.9008344562721</v>
      </c>
      <c r="C48" s="170">
        <f t="shared" si="4"/>
        <v>64</v>
      </c>
      <c r="D48" s="38">
        <f t="shared" si="0"/>
        <v>69.9912510936133</v>
      </c>
      <c r="E48" s="223">
        <f t="shared" si="10"/>
        <v>1003.8959874062411</v>
      </c>
      <c r="F48" s="38">
        <f t="shared" si="5"/>
        <v>867.6051608341709</v>
      </c>
      <c r="G48" s="38">
        <f t="shared" si="6"/>
        <v>-505.04300650960835</v>
      </c>
      <c r="H48" s="39">
        <f t="shared" si="7"/>
        <v>-30.2041802132702</v>
      </c>
      <c r="I48" s="38">
        <f t="shared" si="1"/>
        <v>-1.7178837240619522</v>
      </c>
      <c r="J48" s="40">
        <f t="shared" si="8"/>
        <v>0.2420153345779522</v>
      </c>
      <c r="K48" s="38">
        <f t="shared" si="9"/>
        <v>-0.6862632713273342</v>
      </c>
      <c r="L48" s="41">
        <f t="shared" si="2"/>
        <v>-1.743108709171429</v>
      </c>
      <c r="M48" s="84"/>
      <c r="N48" s="283"/>
    </row>
    <row r="49" spans="2:14" ht="12.75">
      <c r="B49" s="169">
        <f t="shared" si="3"/>
        <v>76.2102355330306</v>
      </c>
      <c r="C49" s="170">
        <f t="shared" si="4"/>
        <v>66</v>
      </c>
      <c r="D49" s="38">
        <f t="shared" si="0"/>
        <v>72.17847769028872</v>
      </c>
      <c r="E49" s="223">
        <f t="shared" si="10"/>
        <v>1004.0184671351254</v>
      </c>
      <c r="F49" s="38">
        <f t="shared" si="5"/>
        <v>867.6051608341709</v>
      </c>
      <c r="G49" s="38">
        <f t="shared" si="6"/>
        <v>-505.28642099533937</v>
      </c>
      <c r="H49" s="39">
        <f t="shared" si="7"/>
        <v>-30.216185174525005</v>
      </c>
      <c r="I49" s="38">
        <f t="shared" si="1"/>
        <v>-1.7170561582183772</v>
      </c>
      <c r="J49" s="40">
        <f t="shared" si="8"/>
        <v>0.2495783137835132</v>
      </c>
      <c r="K49" s="38">
        <f t="shared" si="9"/>
        <v>-1.072214859951373</v>
      </c>
      <c r="L49" s="41">
        <f t="shared" si="2"/>
        <v>-2.7234257442764873</v>
      </c>
      <c r="M49" s="84"/>
      <c r="N49" s="283"/>
    </row>
    <row r="50" spans="2:14" ht="12.75">
      <c r="B50" s="169">
        <f t="shared" si="3"/>
        <v>78.5196366097891</v>
      </c>
      <c r="C50" s="170">
        <f t="shared" si="4"/>
        <v>68</v>
      </c>
      <c r="D50" s="38">
        <f t="shared" si="0"/>
        <v>74.36570428696413</v>
      </c>
      <c r="E50" s="223">
        <f t="shared" si="10"/>
        <v>1004.140990930858</v>
      </c>
      <c r="F50" s="38">
        <f t="shared" si="5"/>
        <v>867.6051608341709</v>
      </c>
      <c r="G50" s="38">
        <f t="shared" si="6"/>
        <v>-505.52983548107034</v>
      </c>
      <c r="H50" s="39">
        <f t="shared" si="7"/>
        <v>-30.228187206651434</v>
      </c>
      <c r="I50" s="38">
        <f t="shared" si="1"/>
        <v>-1.7162293893268314</v>
      </c>
      <c r="J50" s="40">
        <f t="shared" si="8"/>
        <v>0.25714129298907423</v>
      </c>
      <c r="K50" s="38">
        <f t="shared" si="9"/>
        <v>-1.480257712902585</v>
      </c>
      <c r="L50" s="41">
        <f t="shared" si="2"/>
        <v>-3.759854590772566</v>
      </c>
      <c r="M50" s="84"/>
      <c r="N50" s="283"/>
    </row>
    <row r="51" spans="2:14" ht="12.75">
      <c r="B51" s="169">
        <f t="shared" si="3"/>
        <v>80.82903768654761</v>
      </c>
      <c r="C51" s="170">
        <f t="shared" si="4"/>
        <v>70</v>
      </c>
      <c r="D51" s="38">
        <f t="shared" si="0"/>
        <v>76.55293088363955</v>
      </c>
      <c r="E51" s="223">
        <f t="shared" si="10"/>
        <v>1004.2635587773102</v>
      </c>
      <c r="F51" s="38">
        <f t="shared" si="5"/>
        <v>867.6051608341709</v>
      </c>
      <c r="G51" s="38">
        <f t="shared" si="6"/>
        <v>-505.7732499668013</v>
      </c>
      <c r="H51" s="39">
        <f t="shared" si="7"/>
        <v>-30.2401863096685</v>
      </c>
      <c r="I51" s="38">
        <f t="shared" si="1"/>
        <v>-1.7154034162366634</v>
      </c>
      <c r="J51" s="40">
        <f t="shared" si="8"/>
        <v>0.26470427219463527</v>
      </c>
      <c r="K51" s="38">
        <f t="shared" si="9"/>
        <v>-1.91039183018097</v>
      </c>
      <c r="L51" s="41">
        <f t="shared" si="2"/>
        <v>-4.852395248659664</v>
      </c>
      <c r="M51" s="84">
        <f>0.5*ASIN(9.81*C51/$F$4^2)*180/PI()</f>
        <v>0.21175501938516678</v>
      </c>
      <c r="N51" s="283"/>
    </row>
    <row r="52" spans="2:14" ht="12.75">
      <c r="B52" s="169">
        <f t="shared" si="3"/>
        <v>83.1384387633061</v>
      </c>
      <c r="C52" s="170">
        <f t="shared" si="4"/>
        <v>72</v>
      </c>
      <c r="D52" s="38">
        <f t="shared" si="0"/>
        <v>78.74015748031496</v>
      </c>
      <c r="E52" s="223">
        <f t="shared" si="10"/>
        <v>1004.386170658355</v>
      </c>
      <c r="F52" s="38">
        <f t="shared" si="5"/>
        <v>867.6051608341709</v>
      </c>
      <c r="G52" s="38">
        <f t="shared" si="6"/>
        <v>-506.01666445253227</v>
      </c>
      <c r="H52" s="39">
        <f t="shared" si="7"/>
        <v>-30.252182483596187</v>
      </c>
      <c r="I52" s="38">
        <f t="shared" si="1"/>
        <v>-1.7145782377994354</v>
      </c>
      <c r="J52" s="40">
        <f t="shared" si="8"/>
        <v>0.27226725140019625</v>
      </c>
      <c r="K52" s="38">
        <f t="shared" si="9"/>
        <v>-2.3626172117863007</v>
      </c>
      <c r="L52" s="41">
        <f t="shared" si="2"/>
        <v>-6.001047717937204</v>
      </c>
      <c r="M52" s="84"/>
      <c r="N52" s="283"/>
    </row>
    <row r="53" spans="2:14" ht="12.75">
      <c r="B53" s="169">
        <f t="shared" si="3"/>
        <v>85.4478398400646</v>
      </c>
      <c r="C53" s="170">
        <f t="shared" si="4"/>
        <v>74</v>
      </c>
      <c r="D53" s="38">
        <f t="shared" si="0"/>
        <v>80.92738407699038</v>
      </c>
      <c r="E53" s="223">
        <f t="shared" si="10"/>
        <v>1004.5088265578676</v>
      </c>
      <c r="F53" s="38">
        <f t="shared" si="5"/>
        <v>867.6051608341709</v>
      </c>
      <c r="G53" s="38">
        <f t="shared" si="6"/>
        <v>-506.2600789382633</v>
      </c>
      <c r="H53" s="39">
        <f t="shared" si="7"/>
        <v>-30.26417572845555</v>
      </c>
      <c r="I53" s="38">
        <f t="shared" si="1"/>
        <v>-1.7137538528689171</v>
      </c>
      <c r="J53" s="40">
        <f t="shared" si="8"/>
        <v>0.27983023060575724</v>
      </c>
      <c r="K53" s="38">
        <f t="shared" si="9"/>
        <v>-2.836933857718577</v>
      </c>
      <c r="L53" s="41">
        <f t="shared" si="2"/>
        <v>-7.205811998605186</v>
      </c>
      <c r="M53" s="84"/>
      <c r="N53" s="283"/>
    </row>
    <row r="54" spans="2:14" ht="12.75">
      <c r="B54" s="169">
        <f t="shared" si="3"/>
        <v>87.75724091682311</v>
      </c>
      <c r="C54" s="170">
        <f t="shared" si="4"/>
        <v>76</v>
      </c>
      <c r="D54" s="38">
        <f t="shared" si="0"/>
        <v>83.1146106736658</v>
      </c>
      <c r="E54" s="223">
        <f t="shared" si="10"/>
        <v>1004.6315264597254</v>
      </c>
      <c r="F54" s="38">
        <f t="shared" si="5"/>
        <v>867.6051608341709</v>
      </c>
      <c r="G54" s="38">
        <f t="shared" si="6"/>
        <v>-506.50349342399426</v>
      </c>
      <c r="H54" s="39">
        <f t="shared" si="7"/>
        <v>-30.276166044268617</v>
      </c>
      <c r="I54" s="38">
        <f t="shared" si="1"/>
        <v>-1.7129302603010836</v>
      </c>
      <c r="J54" s="40">
        <f t="shared" si="8"/>
        <v>0.2873932098113183</v>
      </c>
      <c r="K54" s="38">
        <f t="shared" si="9"/>
        <v>-3.333341767978027</v>
      </c>
      <c r="L54" s="41">
        <f t="shared" si="2"/>
        <v>-8.466688090664189</v>
      </c>
      <c r="M54" s="84"/>
      <c r="N54" s="283"/>
    </row>
    <row r="55" spans="2:14" ht="12.75">
      <c r="B55" s="169">
        <f t="shared" si="3"/>
        <v>90.06664199358161</v>
      </c>
      <c r="C55" s="170">
        <f t="shared" si="4"/>
        <v>78</v>
      </c>
      <c r="D55" s="38">
        <f t="shared" si="0"/>
        <v>85.30183727034121</v>
      </c>
      <c r="E55" s="223">
        <f t="shared" si="10"/>
        <v>1004.7542703478075</v>
      </c>
      <c r="F55" s="38">
        <f t="shared" si="5"/>
        <v>867.6051608341709</v>
      </c>
      <c r="G55" s="38">
        <f t="shared" si="6"/>
        <v>-506.7469079097252</v>
      </c>
      <c r="H55" s="39">
        <f t="shared" si="7"/>
        <v>-30.288153431058458</v>
      </c>
      <c r="I55" s="38">
        <f t="shared" si="1"/>
        <v>-1.712107458954107</v>
      </c>
      <c r="J55" s="40">
        <f t="shared" si="8"/>
        <v>0.29495618901687926</v>
      </c>
      <c r="K55" s="38">
        <f t="shared" si="9"/>
        <v>-3.8518409425639675</v>
      </c>
      <c r="L55" s="41">
        <f t="shared" si="2"/>
        <v>-9.783675994112478</v>
      </c>
      <c r="M55" s="84"/>
      <c r="N55" s="283"/>
    </row>
    <row r="56" spans="2:14" ht="12.75">
      <c r="B56" s="169">
        <f t="shared" si="3"/>
        <v>92.37604307034012</v>
      </c>
      <c r="C56" s="170">
        <f t="shared" si="4"/>
        <v>80</v>
      </c>
      <c r="D56" s="38">
        <f t="shared" si="0"/>
        <v>87.48906386701663</v>
      </c>
      <c r="E56" s="223">
        <f t="shared" si="10"/>
        <v>1004.8770582059957</v>
      </c>
      <c r="F56" s="38">
        <f t="shared" si="5"/>
        <v>867.6051608341709</v>
      </c>
      <c r="G56" s="38">
        <f t="shared" si="6"/>
        <v>-506.9903223954562</v>
      </c>
      <c r="H56" s="39">
        <f t="shared" si="7"/>
        <v>-30.300137888849132</v>
      </c>
      <c r="I56" s="38">
        <f t="shared" si="1"/>
        <v>-1.7112854476883534</v>
      </c>
      <c r="J56" s="40">
        <f t="shared" si="8"/>
        <v>0.30251916822244024</v>
      </c>
      <c r="K56" s="38">
        <f t="shared" si="9"/>
        <v>-4.392431381477309</v>
      </c>
      <c r="L56" s="41">
        <f t="shared" si="2"/>
        <v>-11.156775708952363</v>
      </c>
      <c r="M56" s="84">
        <f>0.5*ASIN(9.81*C56/$F$4^2)*180/PI()</f>
        <v>0.24200641106840903</v>
      </c>
      <c r="N56" s="283"/>
    </row>
    <row r="57" spans="2:14" ht="12.75">
      <c r="B57" s="169">
        <f t="shared" si="3"/>
        <v>94.68544414709862</v>
      </c>
      <c r="C57" s="170">
        <f t="shared" si="4"/>
        <v>82</v>
      </c>
      <c r="D57" s="38">
        <f t="shared" si="0"/>
        <v>89.67629046369204</v>
      </c>
      <c r="E57" s="223">
        <f t="shared" si="10"/>
        <v>1004.9998900181736</v>
      </c>
      <c r="F57" s="38">
        <f t="shared" si="5"/>
        <v>867.6051608341709</v>
      </c>
      <c r="G57" s="38">
        <f t="shared" si="6"/>
        <v>-507.2337368811872</v>
      </c>
      <c r="H57" s="39">
        <f t="shared" si="7"/>
        <v>-30.312119417665745</v>
      </c>
      <c r="I57" s="38">
        <f t="shared" si="1"/>
        <v>-1.710464225366374</v>
      </c>
      <c r="J57" s="40">
        <f t="shared" si="8"/>
        <v>0.3100821474280013</v>
      </c>
      <c r="K57" s="38">
        <f t="shared" si="9"/>
        <v>-4.955113084717368</v>
      </c>
      <c r="L57" s="41">
        <f t="shared" si="2"/>
        <v>-12.585987235182115</v>
      </c>
      <c r="M57" s="84"/>
      <c r="N57" s="283"/>
    </row>
    <row r="58" spans="2:14" ht="12.75">
      <c r="B58" s="169">
        <f t="shared" si="3"/>
        <v>96.99484522385713</v>
      </c>
      <c r="C58" s="170">
        <f t="shared" si="4"/>
        <v>84</v>
      </c>
      <c r="D58" s="38">
        <f t="shared" si="0"/>
        <v>91.86351706036746</v>
      </c>
      <c r="E58" s="223">
        <f t="shared" si="10"/>
        <v>1005.1227657682267</v>
      </c>
      <c r="F58" s="38">
        <f t="shared" si="5"/>
        <v>867.6051608341709</v>
      </c>
      <c r="G58" s="38">
        <f t="shared" si="6"/>
        <v>-507.4771513669182</v>
      </c>
      <c r="H58" s="39">
        <f t="shared" si="7"/>
        <v>-30.324098017534396</v>
      </c>
      <c r="I58" s="38">
        <f t="shared" si="1"/>
        <v>-1.7096437908529039</v>
      </c>
      <c r="J58" s="40">
        <f t="shared" si="8"/>
        <v>0.31764512663356226</v>
      </c>
      <c r="K58" s="38">
        <f t="shared" si="9"/>
        <v>-5.539886052284146</v>
      </c>
      <c r="L58" s="41">
        <f t="shared" si="2"/>
        <v>-14.071310572801732</v>
      </c>
      <c r="M58" s="84"/>
      <c r="N58" s="283"/>
    </row>
    <row r="59" spans="2:14" ht="12.75">
      <c r="B59" s="169">
        <f t="shared" si="3"/>
        <v>99.30424630061563</v>
      </c>
      <c r="C59" s="170">
        <f t="shared" si="4"/>
        <v>86</v>
      </c>
      <c r="D59" s="38">
        <f t="shared" si="0"/>
        <v>94.05074365704287</v>
      </c>
      <c r="E59" s="223">
        <f t="shared" si="10"/>
        <v>1005.245685440043</v>
      </c>
      <c r="F59" s="38">
        <f t="shared" si="5"/>
        <v>867.6051608341709</v>
      </c>
      <c r="G59" s="38">
        <f t="shared" si="6"/>
        <v>-507.72056585264914</v>
      </c>
      <c r="H59" s="39">
        <f t="shared" si="7"/>
        <v>-30.336073688482195</v>
      </c>
      <c r="I59" s="38">
        <f t="shared" si="1"/>
        <v>-1.7088241430148556</v>
      </c>
      <c r="J59" s="40">
        <f t="shared" si="8"/>
        <v>0.3252081058391233</v>
      </c>
      <c r="K59" s="38">
        <f t="shared" si="9"/>
        <v>-6.146750284178552</v>
      </c>
      <c r="L59" s="41">
        <f t="shared" si="2"/>
        <v>-15.612745721813521</v>
      </c>
      <c r="M59" s="84"/>
      <c r="N59" s="283"/>
    </row>
    <row r="60" spans="2:14" ht="12.75">
      <c r="B60" s="169">
        <f t="shared" si="3"/>
        <v>101.61364737737412</v>
      </c>
      <c r="C60" s="170">
        <f t="shared" si="4"/>
        <v>88</v>
      </c>
      <c r="D60" s="38">
        <f t="shared" si="0"/>
        <v>96.23797025371829</v>
      </c>
      <c r="E60" s="223">
        <f t="shared" si="10"/>
        <v>1005.3686490175122</v>
      </c>
      <c r="F60" s="38">
        <f t="shared" si="5"/>
        <v>867.6051608341709</v>
      </c>
      <c r="G60" s="38">
        <f t="shared" si="6"/>
        <v>-507.9639803383801</v>
      </c>
      <c r="H60" s="39">
        <f t="shared" si="7"/>
        <v>-30.34804643053726</v>
      </c>
      <c r="I60" s="38">
        <f t="shared" si="1"/>
        <v>-1.7080052807213135</v>
      </c>
      <c r="J60" s="40">
        <f t="shared" si="8"/>
        <v>0.3327710850446843</v>
      </c>
      <c r="K60" s="38">
        <f t="shared" si="9"/>
        <v>-6.775705780399903</v>
      </c>
      <c r="L60" s="41">
        <f t="shared" si="2"/>
        <v>-17.210292682215755</v>
      </c>
      <c r="M60" s="84"/>
      <c r="N60" s="283"/>
    </row>
    <row r="61" spans="2:14" ht="13.5" thickBot="1">
      <c r="B61" s="171">
        <f t="shared" si="3"/>
        <v>103.92304845413263</v>
      </c>
      <c r="C61" s="259">
        <f t="shared" si="4"/>
        <v>90</v>
      </c>
      <c r="D61" s="47">
        <f t="shared" si="0"/>
        <v>98.4251968503937</v>
      </c>
      <c r="E61" s="276">
        <f>SQRT(F61^2+G61^2)</f>
        <v>1005.4916564845267</v>
      </c>
      <c r="F61" s="47">
        <f t="shared" si="5"/>
        <v>867.6051608341709</v>
      </c>
      <c r="G61" s="47">
        <f t="shared" si="6"/>
        <v>-508.20739482411113</v>
      </c>
      <c r="H61" s="131">
        <f t="shared" si="7"/>
        <v>-30.360016243728722</v>
      </c>
      <c r="I61" s="47">
        <f t="shared" si="1"/>
        <v>-1.7071872028435284</v>
      </c>
      <c r="J61" s="132">
        <f t="shared" si="8"/>
        <v>0.34033406425024526</v>
      </c>
      <c r="K61" s="47">
        <f t="shared" si="9"/>
        <v>-7.426752540947973</v>
      </c>
      <c r="L61" s="61">
        <f t="shared" si="2"/>
        <v>-18.863951454007854</v>
      </c>
      <c r="M61" s="284">
        <f>0.5*ASIN(9.81*C61/$F$4^2)*180/PI()</f>
        <v>0.27225807261675034</v>
      </c>
      <c r="N61" s="283"/>
    </row>
    <row r="62" spans="2:13" ht="12.75">
      <c r="B62" s="62"/>
      <c r="C62" s="63"/>
      <c r="D62" s="64"/>
      <c r="E62" s="65"/>
      <c r="F62" s="66"/>
      <c r="G62" s="66"/>
      <c r="H62" s="67"/>
      <c r="I62" s="64"/>
      <c r="J62" s="68"/>
      <c r="K62" s="66"/>
      <c r="L62" s="69"/>
      <c r="M62" s="85"/>
    </row>
    <row r="63" spans="2:13" ht="12.75">
      <c r="B63" s="71"/>
      <c r="C63" s="72"/>
      <c r="D63" s="73"/>
      <c r="E63" s="74"/>
      <c r="F63" s="75"/>
      <c r="G63" s="75"/>
      <c r="H63" s="76"/>
      <c r="I63" s="73"/>
      <c r="J63" s="77"/>
      <c r="K63" s="75"/>
      <c r="L63" s="78"/>
      <c r="M63" s="86"/>
    </row>
    <row r="64" spans="2:13" ht="12.75">
      <c r="B64" s="71"/>
      <c r="C64" s="72"/>
      <c r="D64" s="73"/>
      <c r="E64" s="74"/>
      <c r="F64" s="75"/>
      <c r="G64" s="75"/>
      <c r="H64" s="76"/>
      <c r="I64" s="73"/>
      <c r="J64" s="77"/>
      <c r="K64" s="75"/>
      <c r="L64" s="78"/>
      <c r="M64" s="86"/>
    </row>
    <row r="65" spans="2:13" ht="12.75">
      <c r="B65" s="71"/>
      <c r="C65" s="72"/>
      <c r="D65" s="73"/>
      <c r="E65" s="74"/>
      <c r="F65" s="75"/>
      <c r="G65" s="75"/>
      <c r="H65" s="76"/>
      <c r="I65" s="73"/>
      <c r="J65" s="77"/>
      <c r="K65" s="75"/>
      <c r="L65" s="78"/>
      <c r="M65" s="86"/>
    </row>
    <row r="66" spans="2:13" ht="12.75">
      <c r="B66" s="71"/>
      <c r="C66" s="72"/>
      <c r="D66" s="73"/>
      <c r="E66" s="74"/>
      <c r="F66" s="75"/>
      <c r="J66" s="77"/>
      <c r="K66" s="75"/>
      <c r="L66" s="78"/>
      <c r="M66" s="86"/>
    </row>
    <row r="67" spans="2:13" ht="12.75">
      <c r="B67" s="71"/>
      <c r="C67" s="72"/>
      <c r="D67" s="73"/>
      <c r="J67" s="3"/>
      <c r="K67" s="75"/>
      <c r="L67" s="78"/>
      <c r="M67" s="86"/>
    </row>
    <row r="68" spans="2:13" ht="12.75">
      <c r="B68" s="71"/>
      <c r="C68" s="72"/>
      <c r="D68" s="73"/>
      <c r="J68" s="92"/>
      <c r="K68" s="75"/>
      <c r="L68" s="78"/>
      <c r="M68" s="86"/>
    </row>
    <row r="69" spans="2:13" ht="12.75">
      <c r="B69" s="71"/>
      <c r="C69" s="72"/>
      <c r="D69" s="73"/>
      <c r="J69" s="92"/>
      <c r="K69" s="75"/>
      <c r="L69" s="78"/>
      <c r="M69" s="86"/>
    </row>
    <row r="70" spans="2:13" ht="12.75">
      <c r="B70" s="71"/>
      <c r="C70" s="72"/>
      <c r="D70" s="73"/>
      <c r="J70" s="92"/>
      <c r="K70" s="75"/>
      <c r="L70" s="78"/>
      <c r="M70" s="86"/>
    </row>
    <row r="71" spans="2:13" ht="12.75">
      <c r="B71" s="71"/>
      <c r="C71" s="72"/>
      <c r="D71" s="73"/>
      <c r="J71" s="92"/>
      <c r="K71" s="75"/>
      <c r="L71" s="78"/>
      <c r="M71" s="86"/>
    </row>
    <row r="72" ht="12">
      <c r="J72" s="92"/>
    </row>
    <row r="73" ht="12">
      <c r="J73" s="92"/>
    </row>
  </sheetData>
  <mergeCells count="1">
    <mergeCell ref="J3:L12"/>
  </mergeCells>
  <printOptions/>
  <pageMargins left="0.35" right="0.58" top="0.37" bottom="0.36" header="0.14" footer="0"/>
  <pageSetup horizontalDpi="300" verticalDpi="300" orientation="portrait" paperSize="9" scale="9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52"/>
  <sheetViews>
    <sheetView workbookViewId="0" topLeftCell="A1">
      <selection activeCell="A31" sqref="A31"/>
    </sheetView>
  </sheetViews>
  <sheetFormatPr defaultColWidth="11.00390625" defaultRowHeight="12.75"/>
  <cols>
    <col min="1" max="1" width="17.625" style="0" customWidth="1"/>
    <col min="2" max="2" width="2.25390625" style="0" customWidth="1"/>
    <col min="3" max="3" width="10.00390625" style="0" customWidth="1"/>
    <col min="4" max="4" width="10.50390625" style="0" customWidth="1"/>
    <col min="5" max="5" width="9.875" style="0" customWidth="1"/>
    <col min="7" max="7" width="8.375" style="0" customWidth="1"/>
  </cols>
  <sheetData>
    <row r="2" spans="2:9" ht="15">
      <c r="B2" s="103" t="s">
        <v>28</v>
      </c>
      <c r="C2" s="103"/>
      <c r="D2" s="3"/>
      <c r="E2" s="3"/>
      <c r="F2" s="3"/>
      <c r="G2" s="3"/>
      <c r="H2" s="3"/>
      <c r="I2" s="3"/>
    </row>
    <row r="3" spans="2:9" ht="15">
      <c r="B3" s="103"/>
      <c r="C3" s="103"/>
      <c r="D3" s="3"/>
      <c r="E3" s="3"/>
      <c r="F3" s="3"/>
      <c r="G3" s="3"/>
      <c r="H3" s="3"/>
      <c r="I3" s="3"/>
    </row>
    <row r="4" spans="2:9" ht="15">
      <c r="B4" s="103"/>
      <c r="C4" s="103"/>
      <c r="D4" s="3"/>
      <c r="E4" s="3"/>
      <c r="F4" s="3"/>
      <c r="G4" s="3"/>
      <c r="H4" s="3"/>
      <c r="I4" s="3"/>
    </row>
    <row r="7" ht="12" thickBot="1">
      <c r="C7" s="98" t="s">
        <v>23</v>
      </c>
    </row>
    <row r="8" spans="3:5" ht="13.5" customHeight="1">
      <c r="C8" s="235" t="s">
        <v>24</v>
      </c>
      <c r="D8" s="236"/>
      <c r="E8" s="109">
        <v>40</v>
      </c>
    </row>
    <row r="9" spans="3:5" ht="13.5" customHeight="1">
      <c r="C9" s="237" t="s">
        <v>25</v>
      </c>
      <c r="D9" s="238"/>
      <c r="E9" s="110">
        <v>0.075</v>
      </c>
    </row>
    <row r="10" spans="3:5" ht="13.5" customHeight="1" thickBot="1">
      <c r="C10" s="239" t="s">
        <v>26</v>
      </c>
      <c r="D10" s="240"/>
      <c r="E10" s="111">
        <v>0.85</v>
      </c>
    </row>
    <row r="13" spans="6:7" ht="12">
      <c r="F13" s="3" t="s">
        <v>30</v>
      </c>
      <c r="G13" s="3" t="s">
        <v>29</v>
      </c>
    </row>
    <row r="14" spans="3:7" ht="12" thickBot="1">
      <c r="C14" s="98" t="s">
        <v>22</v>
      </c>
      <c r="E14" s="99"/>
      <c r="F14" s="3">
        <f>G14*0.3048</f>
        <v>82.296</v>
      </c>
      <c r="G14" s="99">
        <v>270</v>
      </c>
    </row>
    <row r="15" spans="3:7" ht="13.5" customHeight="1" thickBot="1">
      <c r="C15" s="112" t="s">
        <v>19</v>
      </c>
      <c r="D15" s="113" t="s">
        <v>20</v>
      </c>
      <c r="E15" s="114" t="s">
        <v>21</v>
      </c>
      <c r="F15" s="115" t="s">
        <v>27</v>
      </c>
      <c r="G15" s="114" t="s">
        <v>21</v>
      </c>
    </row>
    <row r="16" spans="3:7" ht="13.5" customHeight="1">
      <c r="C16" s="116">
        <f>'270'!C21</f>
        <v>10</v>
      </c>
      <c r="D16" s="105">
        <f>0.5*ASIN(9.81*C16/$F$14^2)*180/PI()</f>
        <v>0.4149725581700464</v>
      </c>
      <c r="E16" s="97"/>
      <c r="F16" s="119">
        <f aca="true" t="shared" si="0" ref="F16:F24">$E$8+$E$9*$E$10/C16+$E$10*TAN(D16*PI()/180)*1000</f>
        <v>46.162724474450236</v>
      </c>
      <c r="G16" s="97"/>
    </row>
    <row r="17" spans="3:7" ht="13.5" customHeight="1">
      <c r="C17" s="117">
        <f>'270'!C26</f>
        <v>20</v>
      </c>
      <c r="D17" s="106">
        <f aca="true" t="shared" si="1" ref="D17:D24">0.5*ASIN(9.81*C17/$F$14^2)*180/PI()</f>
        <v>0.8300322191918573</v>
      </c>
      <c r="E17" s="93">
        <f aca="true" t="shared" si="2" ref="E17:E24">D17-D16</f>
        <v>0.4150596610218109</v>
      </c>
      <c r="F17" s="120">
        <f t="shared" si="0"/>
        <v>52.317824845827936</v>
      </c>
      <c r="G17" s="101">
        <f aca="true" t="shared" si="3" ref="G17:G24">F17-F16</f>
        <v>6.155100371377699</v>
      </c>
    </row>
    <row r="18" spans="3:7" ht="13.5" customHeight="1">
      <c r="C18" s="117">
        <f>'270'!C31</f>
        <v>30</v>
      </c>
      <c r="D18" s="106">
        <f t="shared" si="1"/>
        <v>1.2452662506016918</v>
      </c>
      <c r="E18" s="93">
        <f t="shared" si="2"/>
        <v>0.4152340314098345</v>
      </c>
      <c r="F18" s="120">
        <f t="shared" si="0"/>
        <v>58.47893108332285</v>
      </c>
      <c r="G18" s="101">
        <f t="shared" si="3"/>
        <v>6.161106237494913</v>
      </c>
    </row>
    <row r="19" spans="3:7" ht="13.5" customHeight="1">
      <c r="C19" s="117">
        <f>'270'!C36</f>
        <v>40</v>
      </c>
      <c r="D19" s="106">
        <f t="shared" si="1"/>
        <v>1.6607622501708004</v>
      </c>
      <c r="E19" s="93">
        <f t="shared" si="2"/>
        <v>0.41549599956910854</v>
      </c>
      <c r="F19" s="120">
        <f t="shared" si="0"/>
        <v>64.64640007313503</v>
      </c>
      <c r="G19" s="101">
        <f t="shared" si="3"/>
        <v>6.167468989812178</v>
      </c>
    </row>
    <row r="20" spans="3:7" ht="13.5" customHeight="1">
      <c r="C20" s="117">
        <f>'270'!C41</f>
        <v>50</v>
      </c>
      <c r="D20" s="106">
        <f t="shared" si="1"/>
        <v>2.0766083131968625</v>
      </c>
      <c r="E20" s="93">
        <f t="shared" si="2"/>
        <v>0.4158460630260621</v>
      </c>
      <c r="F20" s="120">
        <f t="shared" si="0"/>
        <v>70.82187600843294</v>
      </c>
      <c r="G20" s="101">
        <f t="shared" si="3"/>
        <v>6.175475935297911</v>
      </c>
    </row>
    <row r="21" spans="3:7" ht="13.5" customHeight="1">
      <c r="C21" s="126">
        <v>60</v>
      </c>
      <c r="D21" s="127">
        <f t="shared" si="1"/>
        <v>2.492893202429345</v>
      </c>
      <c r="E21" s="128">
        <f t="shared" si="2"/>
        <v>0.4162848892324824</v>
      </c>
      <c r="F21" s="120">
        <f t="shared" si="0"/>
        <v>77.0072320977279</v>
      </c>
      <c r="G21" s="101">
        <f t="shared" si="3"/>
        <v>6.185356089294956</v>
      </c>
    </row>
    <row r="22" spans="3:7" ht="13.5" customHeight="1">
      <c r="C22" s="126">
        <v>70</v>
      </c>
      <c r="D22" s="127">
        <f t="shared" si="1"/>
        <v>2.9097065215491913</v>
      </c>
      <c r="E22" s="128">
        <f t="shared" si="2"/>
        <v>0.4168133191198464</v>
      </c>
      <c r="F22" s="120">
        <f t="shared" si="0"/>
        <v>83.20442307988984</v>
      </c>
      <c r="G22" s="101">
        <f t="shared" si="3"/>
        <v>6.197190982161942</v>
      </c>
    </row>
    <row r="23" spans="3:7" ht="13.5" customHeight="1">
      <c r="C23" s="126">
        <v>80</v>
      </c>
      <c r="D23" s="127">
        <f t="shared" si="1"/>
        <v>3.327138893160574</v>
      </c>
      <c r="E23" s="128">
        <f t="shared" si="2"/>
        <v>0.4174323716113828</v>
      </c>
      <c r="F23" s="120">
        <f t="shared" si="0"/>
        <v>89.41545169574125</v>
      </c>
      <c r="G23" s="101">
        <f t="shared" si="3"/>
        <v>6.2110286158514185</v>
      </c>
    </row>
    <row r="24" spans="3:7" ht="13.5" customHeight="1" thickBot="1">
      <c r="C24" s="118">
        <v>90</v>
      </c>
      <c r="D24" s="107">
        <f t="shared" si="1"/>
        <v>3.74528214230028</v>
      </c>
      <c r="E24" s="94">
        <f t="shared" si="2"/>
        <v>0.4181432491397059</v>
      </c>
      <c r="F24" s="121">
        <f t="shared" si="0"/>
        <v>95.64236060077835</v>
      </c>
      <c r="G24" s="102">
        <f t="shared" si="3"/>
        <v>6.226908905037092</v>
      </c>
    </row>
    <row r="25" ht="13.5" customHeight="1"/>
    <row r="26" ht="13.5" customHeight="1"/>
    <row r="27" spans="6:7" ht="13.5" customHeight="1">
      <c r="F27" s="3" t="s">
        <v>30</v>
      </c>
      <c r="G27" s="3" t="s">
        <v>29</v>
      </c>
    </row>
    <row r="28" spans="3:7" ht="13.5" customHeight="1" thickBot="1">
      <c r="C28" s="98" t="s">
        <v>22</v>
      </c>
      <c r="D28" s="76"/>
      <c r="E28" s="100"/>
      <c r="F28" s="3">
        <f>G28*0.3048</f>
        <v>42.672000000000004</v>
      </c>
      <c r="G28" s="99">
        <v>140</v>
      </c>
    </row>
    <row r="29" spans="3:7" ht="13.5" customHeight="1" thickBot="1">
      <c r="C29" s="112" t="s">
        <v>19</v>
      </c>
      <c r="D29" s="113" t="s">
        <v>20</v>
      </c>
      <c r="E29" s="114" t="s">
        <v>21</v>
      </c>
      <c r="F29" s="115" t="s">
        <v>27</v>
      </c>
      <c r="G29" s="114" t="s">
        <v>21</v>
      </c>
    </row>
    <row r="30" spans="3:7" ht="13.5" customHeight="1">
      <c r="C30" s="122">
        <f>'140'!C21</f>
        <v>10</v>
      </c>
      <c r="D30" s="105">
        <f>0.5*ASIN(9.81*C30/$F$28^2)*180/PI()</f>
        <v>1.5441374580903764</v>
      </c>
      <c r="E30" s="97"/>
      <c r="F30" s="119">
        <f aca="true" t="shared" si="4" ref="F30:F38">$E$8+$E$9*$E$10/C30+$E$10*TAN(D30*PI()/180)*1000</f>
        <v>62.91966304615838</v>
      </c>
      <c r="G30" s="97"/>
    </row>
    <row r="31" spans="3:7" ht="13.5" customHeight="1">
      <c r="C31" s="123">
        <f>'140'!C26</f>
        <v>20</v>
      </c>
      <c r="D31" s="106">
        <f aca="true" t="shared" si="5" ref="D31:D38">0.5*ASIN(9.81*C31/$F$28^2)*180/PI()</f>
        <v>3.092784009593798</v>
      </c>
      <c r="E31" s="93">
        <f aca="true" t="shared" si="6" ref="E31:E37">D31-D30</f>
        <v>1.5486465515034218</v>
      </c>
      <c r="F31" s="120">
        <f t="shared" si="4"/>
        <v>85.93017734110504</v>
      </c>
      <c r="G31" s="101">
        <f aca="true" t="shared" si="7" ref="G31:G38">F31-F30</f>
        <v>23.01051429494666</v>
      </c>
    </row>
    <row r="32" spans="3:7" ht="13.5" customHeight="1">
      <c r="C32" s="123">
        <f>'140'!C31</f>
        <v>30</v>
      </c>
      <c r="D32" s="106">
        <f t="shared" si="5"/>
        <v>4.650568655503077</v>
      </c>
      <c r="E32" s="93">
        <f t="shared" si="6"/>
        <v>1.5577846459092792</v>
      </c>
      <c r="F32" s="120">
        <f t="shared" si="4"/>
        <v>109.14661252642816</v>
      </c>
      <c r="G32" s="101">
        <f t="shared" si="7"/>
        <v>23.21643518532312</v>
      </c>
    </row>
    <row r="33" spans="3:7" ht="13.5" customHeight="1">
      <c r="C33" s="123">
        <f>'140'!C36</f>
        <v>40</v>
      </c>
      <c r="D33" s="106">
        <f t="shared" si="5"/>
        <v>6.222369229517956</v>
      </c>
      <c r="E33" s="93">
        <f t="shared" si="6"/>
        <v>1.5718005740148788</v>
      </c>
      <c r="F33" s="120">
        <f t="shared" si="4"/>
        <v>132.67692829338318</v>
      </c>
      <c r="G33" s="101">
        <f t="shared" si="7"/>
        <v>23.530315766955027</v>
      </c>
    </row>
    <row r="34" spans="3:7" ht="13.5" customHeight="1">
      <c r="C34" s="123">
        <f>'140'!C41</f>
        <v>50</v>
      </c>
      <c r="D34" s="106">
        <f t="shared" si="5"/>
        <v>7.813460720332451</v>
      </c>
      <c r="E34" s="93">
        <f t="shared" si="6"/>
        <v>1.5910914908144944</v>
      </c>
      <c r="F34" s="120">
        <f t="shared" si="4"/>
        <v>156.6402390209263</v>
      </c>
      <c r="G34" s="101">
        <f t="shared" si="7"/>
        <v>23.963310727543103</v>
      </c>
    </row>
    <row r="35" spans="3:7" ht="13.5" customHeight="1">
      <c r="C35" s="126">
        <v>60</v>
      </c>
      <c r="D35" s="127">
        <f t="shared" si="5"/>
        <v>9.429696445776598</v>
      </c>
      <c r="E35" s="93">
        <f t="shared" si="6"/>
        <v>1.616235725444147</v>
      </c>
      <c r="F35" s="120">
        <f t="shared" si="4"/>
        <v>181.17031858950895</v>
      </c>
      <c r="G35" s="130">
        <f t="shared" si="7"/>
        <v>24.530079568582664</v>
      </c>
    </row>
    <row r="36" spans="3:7" ht="13.5" customHeight="1">
      <c r="C36" s="126">
        <v>70</v>
      </c>
      <c r="D36" s="127">
        <f t="shared" si="5"/>
        <v>11.077741163973178</v>
      </c>
      <c r="E36" s="93">
        <f t="shared" si="6"/>
        <v>1.64804471819658</v>
      </c>
      <c r="F36" s="120">
        <f t="shared" si="4"/>
        <v>206.42137980714784</v>
      </c>
      <c r="G36" s="130">
        <f t="shared" si="7"/>
        <v>25.25106121763889</v>
      </c>
    </row>
    <row r="37" spans="3:7" ht="13.5" customHeight="1">
      <c r="C37" s="126">
        <v>80</v>
      </c>
      <c r="D37" s="127">
        <f t="shared" si="5"/>
        <v>12.765385089601388</v>
      </c>
      <c r="E37" s="93">
        <f t="shared" si="6"/>
        <v>1.68764392562821</v>
      </c>
      <c r="F37" s="120">
        <f t="shared" si="4"/>
        <v>232.57610366796504</v>
      </c>
      <c r="G37" s="130">
        <f t="shared" si="7"/>
        <v>26.1547238608172</v>
      </c>
    </row>
    <row r="38" spans="3:7" ht="13.5" customHeight="1" thickBot="1">
      <c r="C38" s="118">
        <v>90</v>
      </c>
      <c r="D38" s="107">
        <f t="shared" si="5"/>
        <v>14.501985289480201</v>
      </c>
      <c r="E38" s="94">
        <f>D38-D34</f>
        <v>6.68852456914775</v>
      </c>
      <c r="F38" s="121">
        <f t="shared" si="4"/>
        <v>259.8570775437288</v>
      </c>
      <c r="G38" s="102">
        <f t="shared" si="7"/>
        <v>27.28097387576375</v>
      </c>
    </row>
    <row r="39" ht="13.5" customHeight="1"/>
    <row r="40" ht="13.5" customHeight="1"/>
    <row r="41" spans="6:7" ht="13.5" customHeight="1">
      <c r="F41" s="3" t="s">
        <v>30</v>
      </c>
      <c r="G41" s="3" t="s">
        <v>29</v>
      </c>
    </row>
    <row r="42" spans="3:7" ht="13.5" customHeight="1" thickBot="1">
      <c r="C42" s="98" t="s">
        <v>22</v>
      </c>
      <c r="D42" s="76"/>
      <c r="E42" s="100"/>
      <c r="F42" s="3">
        <f>G42*0.3048</f>
        <v>304.8</v>
      </c>
      <c r="G42" s="99">
        <v>1000</v>
      </c>
    </row>
    <row r="43" spans="3:7" ht="13.5" customHeight="1" thickBot="1">
      <c r="C43" s="108" t="s">
        <v>19</v>
      </c>
      <c r="D43" s="104" t="s">
        <v>20</v>
      </c>
      <c r="E43" s="96" t="s">
        <v>21</v>
      </c>
      <c r="F43" s="95" t="s">
        <v>27</v>
      </c>
      <c r="G43" s="96" t="s">
        <v>21</v>
      </c>
    </row>
    <row r="44" spans="3:7" ht="13.5" customHeight="1">
      <c r="C44" s="122">
        <f>'1000'!C21</f>
        <v>10</v>
      </c>
      <c r="D44" s="105">
        <f>0.5*ASIN(9.81*C44/$F$42^2)*180/PI()</f>
        <v>0.030250447212266753</v>
      </c>
      <c r="E44" s="97"/>
      <c r="F44" s="119">
        <f aca="true" t="shared" si="8" ref="F44:F52">$E$8+$E$9*$E$10/C44+$E$10*TAN(D44*PI()/180)*1000</f>
        <v>40.455149460145535</v>
      </c>
      <c r="G44" s="97"/>
    </row>
    <row r="45" spans="3:7" ht="13.5" customHeight="1">
      <c r="C45" s="123">
        <f>'1000'!C26</f>
        <v>20</v>
      </c>
      <c r="D45" s="106">
        <f aca="true" t="shared" si="9" ref="D45:D52">0.5*ASIN(9.81*C45/$F$42^2)*180/PI()</f>
        <v>0.06050092815411654</v>
      </c>
      <c r="E45" s="93">
        <f aca="true" t="shared" si="10" ref="E45:E52">D45-D44</f>
        <v>0.03025048094184979</v>
      </c>
      <c r="F45" s="120">
        <f t="shared" si="8"/>
        <v>40.90073717087394</v>
      </c>
      <c r="G45" s="101">
        <f aca="true" t="shared" si="11" ref="G45:G52">F45-F44</f>
        <v>0.44558771072840386</v>
      </c>
    </row>
    <row r="46" spans="3:7" ht="13.5" customHeight="1">
      <c r="C46" s="123">
        <f>'1000'!C31</f>
        <v>30</v>
      </c>
      <c r="D46" s="106">
        <f t="shared" si="9"/>
        <v>0.09075147655547086</v>
      </c>
      <c r="E46" s="93">
        <f t="shared" si="10"/>
        <v>0.03025054840135432</v>
      </c>
      <c r="F46" s="120">
        <f t="shared" si="8"/>
        <v>41.34845138277643</v>
      </c>
      <c r="G46" s="101">
        <f t="shared" si="11"/>
        <v>0.4477142119024933</v>
      </c>
    </row>
    <row r="47" spans="3:7" ht="13.5" customHeight="1">
      <c r="C47" s="123">
        <f>'1000'!C36</f>
        <v>40</v>
      </c>
      <c r="D47" s="106">
        <f t="shared" si="9"/>
        <v>0.12100212614692825</v>
      </c>
      <c r="E47" s="93">
        <f t="shared" si="10"/>
        <v>0.030250649591457388</v>
      </c>
      <c r="F47" s="120">
        <f t="shared" si="8"/>
        <v>41.796699096461005</v>
      </c>
      <c r="G47" s="101">
        <f t="shared" si="11"/>
        <v>0.44824771368457306</v>
      </c>
    </row>
    <row r="48" spans="3:7" ht="13.5" customHeight="1">
      <c r="C48" s="123">
        <f>'1000'!C41</f>
        <v>50</v>
      </c>
      <c r="D48" s="106">
        <f t="shared" si="9"/>
        <v>0.15125291066010257</v>
      </c>
      <c r="E48" s="93">
        <f t="shared" si="10"/>
        <v>0.030250784513174325</v>
      </c>
      <c r="F48" s="120">
        <f t="shared" si="8"/>
        <v>42.24516231256074</v>
      </c>
      <c r="G48" s="101">
        <f t="shared" si="11"/>
        <v>0.44846321609973216</v>
      </c>
    </row>
    <row r="49" spans="3:7" ht="13.5" customHeight="1">
      <c r="C49" s="126">
        <v>60</v>
      </c>
      <c r="D49" s="127">
        <f t="shared" si="9"/>
        <v>0.1815038638279619</v>
      </c>
      <c r="E49" s="128">
        <f t="shared" si="10"/>
        <v>0.030250953167859335</v>
      </c>
      <c r="F49" s="129">
        <f t="shared" si="8"/>
        <v>42.69373553174218</v>
      </c>
      <c r="G49" s="130">
        <f t="shared" si="11"/>
        <v>0.44857321918144066</v>
      </c>
    </row>
    <row r="50" spans="3:7" ht="13.5" customHeight="1">
      <c r="C50" s="126">
        <v>70</v>
      </c>
      <c r="D50" s="127">
        <f t="shared" si="9"/>
        <v>0.21175501938516678</v>
      </c>
      <c r="E50" s="128">
        <f t="shared" si="10"/>
        <v>0.030251155557204867</v>
      </c>
      <c r="F50" s="129">
        <f t="shared" si="8"/>
        <v>43.14237396899946</v>
      </c>
      <c r="G50" s="130">
        <f t="shared" si="11"/>
        <v>0.44863843725728003</v>
      </c>
    </row>
    <row r="51" spans="3:7" ht="13.5" customHeight="1">
      <c r="C51" s="126">
        <v>80</v>
      </c>
      <c r="D51" s="127">
        <f t="shared" si="9"/>
        <v>0.24200641106840903</v>
      </c>
      <c r="E51" s="128">
        <f t="shared" si="10"/>
        <v>0.030251391683242257</v>
      </c>
      <c r="F51" s="129">
        <f t="shared" si="8"/>
        <v>43.59105560723406</v>
      </c>
      <c r="G51" s="130">
        <f t="shared" si="11"/>
        <v>0.4486816382346035</v>
      </c>
    </row>
    <row r="52" spans="3:7" ht="13.5" customHeight="1" thickBot="1">
      <c r="C52" s="118">
        <v>90</v>
      </c>
      <c r="D52" s="107">
        <f t="shared" si="9"/>
        <v>0.27225807261675034</v>
      </c>
      <c r="E52" s="94">
        <f t="shared" si="10"/>
        <v>0.030251661548341302</v>
      </c>
      <c r="F52" s="121">
        <f t="shared" si="8"/>
        <v>44.03976854845371</v>
      </c>
      <c r="G52" s="102">
        <f t="shared" si="11"/>
        <v>0.44871294121964667</v>
      </c>
    </row>
  </sheetData>
  <mergeCells count="3">
    <mergeCell ref="C8:D8"/>
    <mergeCell ref="C9:D9"/>
    <mergeCell ref="C10:D10"/>
  </mergeCells>
  <printOptions/>
  <pageMargins left="0.75" right="0.75" top="0.76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E33" sqref="E33"/>
    </sheetView>
  </sheetViews>
  <sheetFormatPr defaultColWidth="11.00390625" defaultRowHeight="12.75"/>
  <cols>
    <col min="1" max="1" width="5.375" style="0" customWidth="1"/>
    <col min="7" max="7" width="10.50390625" style="0" customWidth="1"/>
    <col min="8" max="8" width="10.375" style="0" customWidth="1"/>
  </cols>
  <sheetData>
    <row r="2" spans="2:8" ht="15">
      <c r="B2" s="103" t="s">
        <v>31</v>
      </c>
      <c r="C2" s="3"/>
      <c r="D2" s="3"/>
      <c r="E2" s="3"/>
      <c r="F2" s="3"/>
      <c r="G2" s="3"/>
      <c r="H2" s="3"/>
    </row>
    <row r="3" spans="1:8" ht="15">
      <c r="A3" s="103"/>
      <c r="B3" s="103"/>
      <c r="C3" s="3"/>
      <c r="D3" s="3"/>
      <c r="E3" s="3"/>
      <c r="F3" s="3"/>
      <c r="G3" s="3"/>
      <c r="H3" s="3"/>
    </row>
    <row r="4" spans="1:8" ht="15">
      <c r="A4" s="103"/>
      <c r="B4" s="103"/>
      <c r="C4" s="3"/>
      <c r="D4" s="3"/>
      <c r="E4" s="3"/>
      <c r="F4" s="3"/>
      <c r="G4" s="3"/>
      <c r="H4" s="3"/>
    </row>
    <row r="7" ht="12" thickBot="1">
      <c r="B7" s="98" t="s">
        <v>23</v>
      </c>
    </row>
    <row r="8" spans="2:4" ht="12">
      <c r="B8" s="235" t="s">
        <v>24</v>
      </c>
      <c r="C8" s="236"/>
      <c r="D8" s="109">
        <v>40</v>
      </c>
    </row>
    <row r="9" spans="2:4" ht="12">
      <c r="B9" s="237" t="s">
        <v>25</v>
      </c>
      <c r="C9" s="238"/>
      <c r="D9" s="110">
        <v>0.075</v>
      </c>
    </row>
    <row r="10" spans="2:4" ht="12" thickBot="1">
      <c r="B10" s="239" t="s">
        <v>26</v>
      </c>
      <c r="C10" s="240"/>
      <c r="D10" s="111">
        <v>0.85</v>
      </c>
    </row>
    <row r="13" spans="5:6" ht="12">
      <c r="E13" s="3" t="s">
        <v>30</v>
      </c>
      <c r="F13" s="3" t="s">
        <v>29</v>
      </c>
    </row>
    <row r="14" spans="2:6" ht="12" thickBot="1">
      <c r="B14" s="98" t="s">
        <v>22</v>
      </c>
      <c r="D14" s="99"/>
      <c r="E14" s="3">
        <f>F14*0.3048</f>
        <v>82.296</v>
      </c>
      <c r="F14" s="99">
        <v>270</v>
      </c>
    </row>
    <row r="15" spans="2:6" ht="12" thickBot="1">
      <c r="B15" s="112" t="s">
        <v>19</v>
      </c>
      <c r="C15" s="113" t="s">
        <v>20</v>
      </c>
      <c r="D15" s="114" t="s">
        <v>21</v>
      </c>
      <c r="E15" s="115" t="s">
        <v>27</v>
      </c>
      <c r="F15" s="114" t="s">
        <v>21</v>
      </c>
    </row>
    <row r="16" spans="2:6" ht="12">
      <c r="B16" s="116">
        <v>10</v>
      </c>
      <c r="C16" s="105">
        <f>0.5*ASIN(9.81*B16/$E$14^2)*180/PI()</f>
        <v>0.4149725581700464</v>
      </c>
      <c r="D16" s="97"/>
      <c r="E16" s="119">
        <f aca="true" t="shared" si="0" ref="E16:E24">$D$8+$D$9*$D$10/B16+$D$10*TAN(C16*PI()/180)*1000</f>
        <v>46.162724474450236</v>
      </c>
      <c r="F16" s="97"/>
    </row>
    <row r="17" spans="2:6" ht="12">
      <c r="B17" s="117">
        <v>20</v>
      </c>
      <c r="C17" s="106">
        <f aca="true" t="shared" si="1" ref="C17:C24">0.5*ASIN(9.81*B17/$E$14^2)*180/PI()</f>
        <v>0.8300322191918573</v>
      </c>
      <c r="D17" s="93">
        <f aca="true" t="shared" si="2" ref="D17:D24">C17-C16</f>
        <v>0.4150596610218109</v>
      </c>
      <c r="E17" s="120">
        <f t="shared" si="0"/>
        <v>52.317824845827936</v>
      </c>
      <c r="F17" s="101">
        <f aca="true" t="shared" si="3" ref="F17:F24">E17-E16</f>
        <v>6.155100371377699</v>
      </c>
    </row>
    <row r="18" spans="2:6" ht="12">
      <c r="B18" s="117">
        <v>30</v>
      </c>
      <c r="C18" s="106">
        <f t="shared" si="1"/>
        <v>1.2452662506016918</v>
      </c>
      <c r="D18" s="93">
        <f t="shared" si="2"/>
        <v>0.4152340314098345</v>
      </c>
      <c r="E18" s="120">
        <f t="shared" si="0"/>
        <v>58.47893108332285</v>
      </c>
      <c r="F18" s="101">
        <f t="shared" si="3"/>
        <v>6.161106237494913</v>
      </c>
    </row>
    <row r="19" spans="2:6" ht="12">
      <c r="B19" s="117">
        <v>40</v>
      </c>
      <c r="C19" s="106">
        <f t="shared" si="1"/>
        <v>1.6607622501708004</v>
      </c>
      <c r="D19" s="93">
        <f t="shared" si="2"/>
        <v>0.41549599956910854</v>
      </c>
      <c r="E19" s="120">
        <f t="shared" si="0"/>
        <v>64.64640007313503</v>
      </c>
      <c r="F19" s="101">
        <f t="shared" si="3"/>
        <v>6.167468989812178</v>
      </c>
    </row>
    <row r="20" spans="2:6" ht="12">
      <c r="B20" s="117">
        <v>50</v>
      </c>
      <c r="C20" s="106">
        <f t="shared" si="1"/>
        <v>2.0766083131968625</v>
      </c>
      <c r="D20" s="93">
        <f t="shared" si="2"/>
        <v>0.4158460630260621</v>
      </c>
      <c r="E20" s="120">
        <f t="shared" si="0"/>
        <v>70.82187600843294</v>
      </c>
      <c r="F20" s="101">
        <f t="shared" si="3"/>
        <v>6.175475935297911</v>
      </c>
    </row>
    <row r="21" spans="2:6" ht="12">
      <c r="B21" s="126">
        <v>60</v>
      </c>
      <c r="C21" s="127">
        <f t="shared" si="1"/>
        <v>2.492893202429345</v>
      </c>
      <c r="D21" s="128">
        <f t="shared" si="2"/>
        <v>0.4162848892324824</v>
      </c>
      <c r="E21" s="120">
        <f t="shared" si="0"/>
        <v>77.0072320977279</v>
      </c>
      <c r="F21" s="101">
        <f t="shared" si="3"/>
        <v>6.185356089294956</v>
      </c>
    </row>
    <row r="22" spans="2:6" ht="12">
      <c r="B22" s="126">
        <v>70</v>
      </c>
      <c r="C22" s="127">
        <f t="shared" si="1"/>
        <v>2.9097065215491913</v>
      </c>
      <c r="D22" s="128">
        <f t="shared" si="2"/>
        <v>0.4168133191198464</v>
      </c>
      <c r="E22" s="120">
        <f t="shared" si="0"/>
        <v>83.20442307988984</v>
      </c>
      <c r="F22" s="101">
        <f t="shared" si="3"/>
        <v>6.197190982161942</v>
      </c>
    </row>
    <row r="23" spans="2:6" ht="12">
      <c r="B23" s="126">
        <v>80</v>
      </c>
      <c r="C23" s="127">
        <f t="shared" si="1"/>
        <v>3.327138893160574</v>
      </c>
      <c r="D23" s="128">
        <f t="shared" si="2"/>
        <v>0.4174323716113828</v>
      </c>
      <c r="E23" s="120">
        <f t="shared" si="0"/>
        <v>89.41545169574125</v>
      </c>
      <c r="F23" s="101">
        <f t="shared" si="3"/>
        <v>6.2110286158514185</v>
      </c>
    </row>
    <row r="24" spans="2:6" ht="12" thickBot="1">
      <c r="B24" s="118">
        <v>90</v>
      </c>
      <c r="C24" s="107">
        <f t="shared" si="1"/>
        <v>3.74528214230028</v>
      </c>
      <c r="D24" s="94">
        <f t="shared" si="2"/>
        <v>0.4181432491397059</v>
      </c>
      <c r="E24" s="121">
        <f t="shared" si="0"/>
        <v>95.64236060077835</v>
      </c>
      <c r="F24" s="102">
        <f t="shared" si="3"/>
        <v>6.226908905037092</v>
      </c>
    </row>
    <row r="27" ht="12" thickBot="1"/>
    <row r="28" spans="2:4" ht="12" thickBot="1">
      <c r="B28" s="146"/>
      <c r="C28" s="147" t="s">
        <v>32</v>
      </c>
      <c r="D28" s="133">
        <v>20</v>
      </c>
    </row>
    <row r="29" spans="5:6" ht="12">
      <c r="E29" s="3" t="s">
        <v>30</v>
      </c>
      <c r="F29" s="3" t="s">
        <v>29</v>
      </c>
    </row>
    <row r="30" spans="2:6" ht="12" thickBot="1">
      <c r="B30" s="98" t="s">
        <v>22</v>
      </c>
      <c r="D30" s="99"/>
      <c r="E30" s="3">
        <f>F30*0.3048</f>
        <v>82.296</v>
      </c>
      <c r="F30" s="99">
        <v>270</v>
      </c>
    </row>
    <row r="31" spans="3:8" ht="12" thickBot="1">
      <c r="C31" s="98"/>
      <c r="D31" s="245" t="s">
        <v>37</v>
      </c>
      <c r="E31" s="246"/>
      <c r="F31" s="247"/>
      <c r="G31" s="99"/>
      <c r="H31" s="243" t="s">
        <v>39</v>
      </c>
    </row>
    <row r="32" spans="2:8" ht="12" thickBot="1">
      <c r="B32" s="112" t="s">
        <v>19</v>
      </c>
      <c r="C32" s="112" t="s">
        <v>33</v>
      </c>
      <c r="D32" s="143" t="s">
        <v>38</v>
      </c>
      <c r="E32" s="144" t="s">
        <v>34</v>
      </c>
      <c r="F32" s="145" t="s">
        <v>35</v>
      </c>
      <c r="G32" s="142" t="s">
        <v>36</v>
      </c>
      <c r="H32" s="244"/>
    </row>
    <row r="33" spans="2:8" ht="12">
      <c r="B33" s="159">
        <f aca="true" t="shared" si="4" ref="B33:B41">C33/COS($D$28/180*PI())</f>
        <v>10.641777724759121</v>
      </c>
      <c r="C33" s="116">
        <v>10</v>
      </c>
      <c r="D33" s="105">
        <f>0.5*ASIN(9.81*C33/$E$14^2)*180/PI()</f>
        <v>0.4149725581700464</v>
      </c>
      <c r="E33" s="136">
        <f aca="true" t="shared" si="5" ref="E33:E41">ASIN(9.81*C33*COS($D$28/180*PI())/(2*$E$30^2*COS((D33+$D$28)/180*PI())))*180/PI()</f>
        <v>0.41606939894542505</v>
      </c>
      <c r="F33" s="137">
        <f aca="true" t="shared" si="6" ref="F33:F41">ASIN(9.81*C33*COS($D$28/180*PI())/(2*$E$30^2*COS((E33+$D$28)/180*PI())))*180/PI()</f>
        <v>0.41607236362785627</v>
      </c>
      <c r="G33" s="148">
        <f aca="true" t="shared" si="7" ref="G33:G41">ASIN(9.81*C33*COS($D$28/180*PI())/(2*$E$30^2*COS((F33+$D$28)/180*PI())))*180/PI()</f>
        <v>0.4160723716414455</v>
      </c>
      <c r="H33" s="149">
        <f>-((C33*TAN(($D$28+(G33-D33))*PI()/180)-C33*TAN($D$28*PI()/180))*100)</f>
        <v>-0.021738411421035053</v>
      </c>
    </row>
    <row r="34" spans="2:8" ht="12">
      <c r="B34" s="156">
        <f t="shared" si="4"/>
        <v>21.283555449518243</v>
      </c>
      <c r="C34" s="117">
        <v>20</v>
      </c>
      <c r="D34" s="106">
        <f aca="true" t="shared" si="8" ref="D34:D41">0.5*ASIN(9.81*C34/$E$14^2)*180/PI()</f>
        <v>0.8300322191918573</v>
      </c>
      <c r="E34" s="138">
        <f t="shared" si="5"/>
        <v>0.8344326003444831</v>
      </c>
      <c r="F34" s="139">
        <f t="shared" si="6"/>
        <v>0.8344569874381729</v>
      </c>
      <c r="G34" s="134">
        <f t="shared" si="7"/>
        <v>0.8344571226101387</v>
      </c>
      <c r="H34" s="150">
        <f aca="true" t="shared" si="9" ref="H34:H41">-((C34*TAN(($D$28+(G34-D34))*PI()/180)-C34*TAN($D$28*PI()/180))*100)</f>
        <v>-0.1749249405112785</v>
      </c>
    </row>
    <row r="35" spans="2:8" ht="12">
      <c r="B35" s="156">
        <f t="shared" si="4"/>
        <v>31.925333174277363</v>
      </c>
      <c r="C35" s="117">
        <v>30</v>
      </c>
      <c r="D35" s="106">
        <f t="shared" si="8"/>
        <v>1.2452662506016918</v>
      </c>
      <c r="E35" s="138">
        <f t="shared" si="5"/>
        <v>1.255198668311096</v>
      </c>
      <c r="F35" s="139">
        <f t="shared" si="6"/>
        <v>1.2552833029904622</v>
      </c>
      <c r="G35" s="134">
        <f t="shared" si="7"/>
        <v>1.2552840243783998</v>
      </c>
      <c r="H35" s="150">
        <f t="shared" si="9"/>
        <v>-0.5940539013364443</v>
      </c>
    </row>
    <row r="36" spans="2:8" ht="12">
      <c r="B36" s="156">
        <f t="shared" si="4"/>
        <v>42.567110899036486</v>
      </c>
      <c r="C36" s="117">
        <v>40</v>
      </c>
      <c r="D36" s="106">
        <f t="shared" si="8"/>
        <v>1.6607622501708004</v>
      </c>
      <c r="E36" s="138">
        <f t="shared" si="5"/>
        <v>1.6784800931176342</v>
      </c>
      <c r="F36" s="139">
        <f t="shared" si="6"/>
        <v>1.6786863989097964</v>
      </c>
      <c r="G36" s="134">
        <f t="shared" si="7"/>
        <v>1.6786888023699786</v>
      </c>
      <c r="H36" s="150">
        <f t="shared" si="9"/>
        <v>-1.417463777912964</v>
      </c>
    </row>
    <row r="37" spans="2:8" ht="12">
      <c r="B37" s="156">
        <f t="shared" si="4"/>
        <v>53.2088886237956</v>
      </c>
      <c r="C37" s="117">
        <v>50</v>
      </c>
      <c r="D37" s="106">
        <f t="shared" si="8"/>
        <v>2.0766083131968625</v>
      </c>
      <c r="E37" s="138">
        <f t="shared" si="5"/>
        <v>2.1043930573119707</v>
      </c>
      <c r="F37" s="139">
        <f t="shared" si="6"/>
        <v>2.1048074672329538</v>
      </c>
      <c r="G37" s="134">
        <f t="shared" si="7"/>
        <v>2.1048136531477035</v>
      </c>
      <c r="H37" s="150">
        <f t="shared" si="9"/>
        <v>-2.787949698975467</v>
      </c>
    </row>
    <row r="38" spans="2:8" ht="12">
      <c r="B38" s="157">
        <f t="shared" si="4"/>
        <v>63.850666348554725</v>
      </c>
      <c r="C38" s="126">
        <v>60</v>
      </c>
      <c r="D38" s="127">
        <f t="shared" si="8"/>
        <v>2.492893202429345</v>
      </c>
      <c r="E38" s="138">
        <f t="shared" si="5"/>
        <v>2.533057718872084</v>
      </c>
      <c r="F38" s="139">
        <f t="shared" si="6"/>
        <v>2.5337942883970794</v>
      </c>
      <c r="G38" s="134">
        <f t="shared" si="7"/>
        <v>2.533807811843685</v>
      </c>
      <c r="H38" s="150">
        <f t="shared" si="9"/>
        <v>-4.85342541875724</v>
      </c>
    </row>
    <row r="39" spans="2:8" ht="12">
      <c r="B39" s="157">
        <f t="shared" si="4"/>
        <v>74.49244407331385</v>
      </c>
      <c r="C39" s="126">
        <v>70</v>
      </c>
      <c r="D39" s="127">
        <f t="shared" si="8"/>
        <v>2.9097065215491913</v>
      </c>
      <c r="E39" s="138">
        <f t="shared" si="5"/>
        <v>2.964598513251262</v>
      </c>
      <c r="F39" s="139">
        <f t="shared" si="6"/>
        <v>2.965801759214212</v>
      </c>
      <c r="G39" s="134">
        <f t="shared" si="7"/>
        <v>2.965828176127569</v>
      </c>
      <c r="H39" s="150">
        <f t="shared" si="9"/>
        <v>-7.767642668779473</v>
      </c>
    </row>
    <row r="40" spans="2:8" ht="12">
      <c r="B40" s="157">
        <f t="shared" si="4"/>
        <v>85.13422179807297</v>
      </c>
      <c r="C40" s="126">
        <v>80</v>
      </c>
      <c r="D40" s="127">
        <f t="shared" si="8"/>
        <v>3.327138893160574</v>
      </c>
      <c r="E40" s="138">
        <f t="shared" si="5"/>
        <v>3.399144476354142</v>
      </c>
      <c r="F40" s="139">
        <f t="shared" si="6"/>
        <v>3.400992468730062</v>
      </c>
      <c r="G40" s="134">
        <f t="shared" si="7"/>
        <v>3.4010399939182894</v>
      </c>
      <c r="H40" s="150">
        <f t="shared" si="9"/>
        <v>-11.690976824098698</v>
      </c>
    </row>
    <row r="41" spans="2:8" ht="12" thickBot="1">
      <c r="B41" s="158">
        <f t="shared" si="4"/>
        <v>95.7759995228321</v>
      </c>
      <c r="C41" s="118">
        <v>90</v>
      </c>
      <c r="D41" s="107">
        <f t="shared" si="8"/>
        <v>3.74528214230028</v>
      </c>
      <c r="E41" s="140">
        <f t="shared" si="5"/>
        <v>3.8368295906974303</v>
      </c>
      <c r="F41" s="141">
        <f t="shared" si="6"/>
        <v>3.8395373275042006</v>
      </c>
      <c r="G41" s="135">
        <f t="shared" si="7"/>
        <v>3.8396176231084285</v>
      </c>
      <c r="H41" s="151">
        <f t="shared" si="9"/>
        <v>-16.791289107351304</v>
      </c>
    </row>
    <row r="42" ht="3.75" customHeight="1" thickBot="1"/>
    <row r="43" spans="2:8" ht="12">
      <c r="B43" s="152">
        <v>10</v>
      </c>
      <c r="C43" s="155">
        <f>B43*COS($D$28/180*PI())</f>
        <v>9.396926207859085</v>
      </c>
      <c r="D43" s="153">
        <f>0.5*ASIN(9.81*C43/$E$14^2)*180/PI()</f>
        <v>0.38994505544073094</v>
      </c>
      <c r="E43" s="136">
        <f aca="true" t="shared" si="10" ref="E43:E51">ASIN(9.81*C43*COS($D$28/180*PI())/(2*$E$30^2*COS((D43+$D$28)/180*PI())))*180/PI()</f>
        <v>0.3909134239481734</v>
      </c>
      <c r="F43" s="154">
        <f aca="true" t="shared" si="11" ref="F43:F51">ASIN(9.81*C43*COS($D$28/180*PI())/(2*$E$30^2*COS((E43+$D$28)/180*PI())))*180/PI()</f>
        <v>0.3909158798268449</v>
      </c>
      <c r="G43" s="148">
        <f aca="true" t="shared" si="12" ref="G43:G51">ASIN(9.81*C43*COS($D$28/180*PI())/(2*$E$30^2*COS((F43+$D$28)/180*PI())))*180/PI()</f>
        <v>0.3909158860553782</v>
      </c>
      <c r="H43" s="149">
        <f aca="true" t="shared" si="13" ref="H43:H51">-((C43*TAN(($D$28+(G43-D43))*PI()/180)-C43*TAN($D$28*PI()/180))*100)</f>
        <v>-0.01803174232732907</v>
      </c>
    </row>
    <row r="44" spans="2:8" ht="12">
      <c r="B44" s="117">
        <v>20</v>
      </c>
      <c r="C44" s="156">
        <f aca="true" t="shared" si="14" ref="C44:C51">B44*COS($D$28/180*PI())</f>
        <v>18.79385241571817</v>
      </c>
      <c r="D44" s="106">
        <f aca="true" t="shared" si="15" ref="D44:D51">0.5*ASIN(9.81*C44/$E$14^2)*180/PI()</f>
        <v>0.7799623821750055</v>
      </c>
      <c r="E44" s="138">
        <f t="shared" si="10"/>
        <v>0.7838465830755843</v>
      </c>
      <c r="F44" s="139">
        <f t="shared" si="11"/>
        <v>0.7838667508525409</v>
      </c>
      <c r="G44" s="134">
        <f t="shared" si="12"/>
        <v>0.7838668555809718</v>
      </c>
      <c r="H44" s="150">
        <f t="shared" si="13"/>
        <v>-0.1450423369506737</v>
      </c>
    </row>
    <row r="45" spans="2:8" ht="12">
      <c r="B45" s="117">
        <v>30</v>
      </c>
      <c r="C45" s="156">
        <f t="shared" si="14"/>
        <v>28.190778623577252</v>
      </c>
      <c r="D45" s="106">
        <f t="shared" si="15"/>
        <v>1.1701243721367938</v>
      </c>
      <c r="E45" s="138">
        <f t="shared" si="10"/>
        <v>1.178889725698348</v>
      </c>
      <c r="F45" s="139">
        <f t="shared" si="11"/>
        <v>1.178959599102208</v>
      </c>
      <c r="G45" s="134">
        <f t="shared" si="12"/>
        <v>1.178960156245291</v>
      </c>
      <c r="H45" s="150">
        <f t="shared" si="13"/>
        <v>-0.49235945517889235</v>
      </c>
    </row>
    <row r="46" spans="2:8" ht="12">
      <c r="B46" s="117">
        <v>40</v>
      </c>
      <c r="C46" s="156">
        <f t="shared" si="14"/>
        <v>37.58770483143634</v>
      </c>
      <c r="D46" s="106">
        <f t="shared" si="15"/>
        <v>1.5605036591009391</v>
      </c>
      <c r="E46" s="138">
        <f t="shared" si="10"/>
        <v>1.5761357471811477</v>
      </c>
      <c r="F46" s="139">
        <f t="shared" si="11"/>
        <v>1.576305780964779</v>
      </c>
      <c r="G46" s="134">
        <f t="shared" si="12"/>
        <v>1.5763076313079738</v>
      </c>
      <c r="H46" s="150">
        <f t="shared" si="13"/>
        <v>-1.1742522842249414</v>
      </c>
    </row>
    <row r="47" spans="2:8" ht="12">
      <c r="B47" s="117">
        <v>50</v>
      </c>
      <c r="C47" s="156">
        <f t="shared" si="14"/>
        <v>46.98463103929542</v>
      </c>
      <c r="D47" s="106">
        <f t="shared" si="15"/>
        <v>1.9511732410087324</v>
      </c>
      <c r="E47" s="138">
        <f t="shared" si="10"/>
        <v>1.97568038312077</v>
      </c>
      <c r="F47" s="139">
        <f t="shared" si="11"/>
        <v>1.9760213461500167</v>
      </c>
      <c r="G47" s="134">
        <f t="shared" si="12"/>
        <v>1.9760260932825842</v>
      </c>
      <c r="H47" s="150">
        <f t="shared" si="13"/>
        <v>-2.308375156894371</v>
      </c>
    </row>
    <row r="48" spans="2:8" ht="12">
      <c r="B48" s="126">
        <v>60</v>
      </c>
      <c r="C48" s="157">
        <f t="shared" si="14"/>
        <v>56.381557247154504</v>
      </c>
      <c r="D48" s="127">
        <f t="shared" si="15"/>
        <v>2.342206603994037</v>
      </c>
      <c r="E48" s="138">
        <f t="shared" si="10"/>
        <v>2.3776224140387434</v>
      </c>
      <c r="F48" s="139">
        <f t="shared" si="11"/>
        <v>2.3782273867379393</v>
      </c>
      <c r="G48" s="134">
        <f t="shared" si="12"/>
        <v>2.3782377314525953</v>
      </c>
      <c r="H48" s="150">
        <f t="shared" si="13"/>
        <v>-4.016244339559805</v>
      </c>
    </row>
    <row r="49" spans="2:8" ht="12">
      <c r="B49" s="126">
        <v>70</v>
      </c>
      <c r="C49" s="157">
        <f t="shared" si="14"/>
        <v>65.77848345501359</v>
      </c>
      <c r="D49" s="127">
        <f t="shared" si="15"/>
        <v>2.7336778487009643</v>
      </c>
      <c r="E49" s="138">
        <f t="shared" si="10"/>
        <v>2.7820638827579</v>
      </c>
      <c r="F49" s="139">
        <f t="shared" si="11"/>
        <v>2.7830504150596087</v>
      </c>
      <c r="G49" s="134">
        <f t="shared" si="12"/>
        <v>2.7830705571978736</v>
      </c>
      <c r="H49" s="150">
        <f t="shared" si="13"/>
        <v>-6.423752930799154</v>
      </c>
    </row>
    <row r="50" spans="2:8" ht="12">
      <c r="B50" s="126">
        <v>80</v>
      </c>
      <c r="C50" s="157">
        <f t="shared" si="14"/>
        <v>75.17540966287268</v>
      </c>
      <c r="D50" s="127">
        <f t="shared" si="15"/>
        <v>3.125661819505326</v>
      </c>
      <c r="E50" s="138">
        <f t="shared" si="10"/>
        <v>3.1891103257478743</v>
      </c>
      <c r="F50" s="139">
        <f t="shared" si="11"/>
        <v>3.1906227734742805</v>
      </c>
      <c r="G50" s="134">
        <f t="shared" si="12"/>
        <v>3.1906588916214185</v>
      </c>
      <c r="H50" s="150">
        <f t="shared" si="13"/>
        <v>-9.661729451524437</v>
      </c>
    </row>
    <row r="51" spans="2:8" ht="12" thickBot="1">
      <c r="B51" s="118">
        <v>90</v>
      </c>
      <c r="C51" s="158">
        <f t="shared" si="14"/>
        <v>84.57233587073176</v>
      </c>
      <c r="D51" s="107">
        <f t="shared" si="15"/>
        <v>3.518234237279149</v>
      </c>
      <c r="E51" s="140">
        <f t="shared" si="10"/>
        <v>3.5988710198492346</v>
      </c>
      <c r="F51" s="141">
        <f t="shared" si="11"/>
        <v>3.6010830794797877</v>
      </c>
      <c r="G51" s="135">
        <f t="shared" si="12"/>
        <v>3.6011439005822634</v>
      </c>
      <c r="H51" s="151">
        <f t="shared" si="13"/>
        <v>-13.866546445531114</v>
      </c>
    </row>
    <row r="53" ht="18" customHeight="1"/>
    <row r="54" spans="2:8" ht="48.75" customHeight="1">
      <c r="B54" s="242" t="s">
        <v>40</v>
      </c>
      <c r="C54" s="242"/>
      <c r="D54" s="242"/>
      <c r="E54" s="242"/>
      <c r="F54" s="242"/>
      <c r="G54" s="242"/>
      <c r="H54" s="242"/>
    </row>
    <row r="55" spans="2:8" ht="49.5" customHeight="1">
      <c r="B55" s="241" t="s">
        <v>41</v>
      </c>
      <c r="C55" s="241"/>
      <c r="D55" s="241"/>
      <c r="E55" s="241"/>
      <c r="F55" s="241"/>
      <c r="G55" s="241"/>
      <c r="H55" s="241"/>
    </row>
  </sheetData>
  <mergeCells count="7">
    <mergeCell ref="B55:H55"/>
    <mergeCell ref="B54:H54"/>
    <mergeCell ref="H31:H32"/>
    <mergeCell ref="B8:C8"/>
    <mergeCell ref="B9:C9"/>
    <mergeCell ref="B10:C10"/>
    <mergeCell ref="D31:F31"/>
  </mergeCells>
  <printOptions/>
  <pageMargins left="0.75" right="0.75" top="0.45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11.00390625" defaultRowHeight="12.75"/>
  <cols>
    <col min="1" max="1" width="3.00390625" style="0" customWidth="1"/>
    <col min="2" max="2" width="8.125" style="0" customWidth="1"/>
    <col min="3" max="3" width="6.875" style="0" customWidth="1"/>
    <col min="4" max="4" width="7.125" style="0" customWidth="1"/>
    <col min="5" max="6" width="7.50390625" style="0" customWidth="1"/>
    <col min="7" max="7" width="8.125" style="0" customWidth="1"/>
    <col min="8" max="8" width="8.625" style="0" customWidth="1"/>
    <col min="9" max="10" width="8.50390625" style="0" customWidth="1"/>
    <col min="11" max="11" width="7.25390625" style="0" customWidth="1"/>
    <col min="12" max="12" width="7.125" style="0" customWidth="1"/>
    <col min="13" max="13" width="6.75390625" style="0" customWidth="1"/>
    <col min="14" max="14" width="1.4921875" style="0" customWidth="1"/>
    <col min="15" max="15" width="7.75390625" style="0" customWidth="1"/>
  </cols>
  <sheetData>
    <row r="1" spans="11:13" ht="12">
      <c r="K1" s="3"/>
      <c r="L1" s="3"/>
      <c r="M1" s="55"/>
    </row>
    <row r="2" spans="4:13" ht="13.5" thickBot="1">
      <c r="D2" s="1"/>
      <c r="J2" s="2"/>
      <c r="K2" s="3"/>
      <c r="L2" s="3"/>
      <c r="M2" s="55"/>
    </row>
    <row r="3" spans="1:13" ht="12.75">
      <c r="A3" s="5"/>
      <c r="C3" s="6" t="s">
        <v>0</v>
      </c>
      <c r="D3" s="7"/>
      <c r="E3" s="8"/>
      <c r="F3" s="89">
        <v>270</v>
      </c>
      <c r="J3" s="173"/>
      <c r="K3" s="174"/>
      <c r="L3" s="174"/>
      <c r="M3" s="55"/>
    </row>
    <row r="4" spans="1:13" ht="12.75">
      <c r="A4" s="5"/>
      <c r="C4" s="50" t="s">
        <v>14</v>
      </c>
      <c r="D4" s="51"/>
      <c r="E4" s="52"/>
      <c r="F4" s="177">
        <f>0.3048*F3</f>
        <v>82.296</v>
      </c>
      <c r="H4" s="53" t="s">
        <v>52</v>
      </c>
      <c r="J4" s="173"/>
      <c r="K4" s="174"/>
      <c r="L4" s="174"/>
      <c r="M4" s="55"/>
    </row>
    <row r="5" spans="1:13" ht="12.75">
      <c r="A5" s="5"/>
      <c r="C5" s="11" t="s">
        <v>1</v>
      </c>
      <c r="D5" s="12"/>
      <c r="E5" s="13"/>
      <c r="F5" s="91">
        <v>2.493</v>
      </c>
      <c r="H5" s="54">
        <f>2*F3*COS(F5*PI()/180)*F3*SIN(F5*PI()/180)/32.185*0.3048</f>
        <v>60.00263735480233</v>
      </c>
      <c r="I5" s="175"/>
      <c r="J5" s="174"/>
      <c r="K5" s="174"/>
      <c r="L5" s="174"/>
      <c r="M5" s="55"/>
    </row>
    <row r="6" spans="1:13" ht="13.5" thickBot="1">
      <c r="A6" s="5"/>
      <c r="C6" s="14" t="s">
        <v>2</v>
      </c>
      <c r="D6" s="15"/>
      <c r="E6" s="16"/>
      <c r="F6" s="80">
        <v>-30</v>
      </c>
      <c r="H6" s="176"/>
      <c r="J6" s="174"/>
      <c r="K6" s="174"/>
      <c r="L6" s="174"/>
      <c r="M6" s="55"/>
    </row>
    <row r="7" spans="3:13" ht="6" customHeight="1" thickBot="1">
      <c r="C7" s="10"/>
      <c r="D7" s="10"/>
      <c r="E7" s="10"/>
      <c r="F7" s="10"/>
      <c r="H7" s="48"/>
      <c r="J7" s="174"/>
      <c r="K7" s="174"/>
      <c r="L7" s="174"/>
      <c r="M7" s="55"/>
    </row>
    <row r="8" spans="3:13" ht="12.75">
      <c r="C8" s="6" t="s">
        <v>3</v>
      </c>
      <c r="D8" s="7"/>
      <c r="E8" s="18"/>
      <c r="F8" s="19">
        <f>F5+F6</f>
        <v>-27.507</v>
      </c>
      <c r="H8" s="53" t="s">
        <v>46</v>
      </c>
      <c r="J8" s="174"/>
      <c r="K8" s="174"/>
      <c r="L8" s="174"/>
      <c r="M8" s="55"/>
    </row>
    <row r="9" spans="1:13" ht="12.75">
      <c r="A9" s="5"/>
      <c r="C9" s="20" t="s">
        <v>4</v>
      </c>
      <c r="D9" s="21"/>
      <c r="E9" s="13"/>
      <c r="F9" s="178">
        <f>F3*COS(F8*3.14159/180)</f>
        <v>239.47774216523584</v>
      </c>
      <c r="H9" s="54">
        <f>H5/COS(F6/180*PI())</f>
        <v>69.28507765776524</v>
      </c>
      <c r="I9" s="175"/>
      <c r="J9" s="174"/>
      <c r="K9" s="174"/>
      <c r="L9" s="174"/>
      <c r="M9" s="55"/>
    </row>
    <row r="10" spans="1:13" ht="13.5" thickBot="1">
      <c r="A10" s="5"/>
      <c r="C10" s="14" t="s">
        <v>5</v>
      </c>
      <c r="D10" s="15"/>
      <c r="E10" s="24"/>
      <c r="F10" s="179">
        <f>F3*SIN(F8*3.14159/180)</f>
        <v>-124.70128711220596</v>
      </c>
      <c r="H10" s="176"/>
      <c r="J10" s="174"/>
      <c r="K10" s="174"/>
      <c r="L10" s="174"/>
      <c r="M10" s="55"/>
    </row>
    <row r="11" spans="1:13" ht="5.25" customHeight="1" thickBot="1">
      <c r="A11" s="5"/>
      <c r="C11" s="10"/>
      <c r="D11" s="10"/>
      <c r="E11" s="10"/>
      <c r="F11" s="10"/>
      <c r="H11" s="49"/>
      <c r="J11" s="174"/>
      <c r="K11" s="174"/>
      <c r="L11" s="174"/>
      <c r="M11" s="55"/>
    </row>
    <row r="12" spans="1:13" ht="13.5" thickBot="1">
      <c r="A12" s="5"/>
      <c r="C12" s="25" t="s">
        <v>48</v>
      </c>
      <c r="D12" s="26"/>
      <c r="E12" s="27"/>
      <c r="F12" s="180">
        <v>2</v>
      </c>
      <c r="H12" s="49"/>
      <c r="J12" s="174"/>
      <c r="K12" s="174"/>
      <c r="L12" s="174"/>
      <c r="M12" s="55"/>
    </row>
    <row r="13" spans="1:14" ht="7.5" customHeight="1" thickBot="1">
      <c r="A13" s="5"/>
      <c r="B13" s="10"/>
      <c r="C13" s="10"/>
      <c r="D13" s="10"/>
      <c r="E13" s="10"/>
      <c r="F13" s="10"/>
      <c r="G13" s="10"/>
      <c r="H13" s="9"/>
      <c r="I13" s="9"/>
      <c r="J13" s="9"/>
      <c r="K13" s="29"/>
      <c r="L13" s="30"/>
      <c r="M13" s="56"/>
      <c r="N13" s="23"/>
    </row>
    <row r="14" spans="1:14" ht="24" thickBot="1">
      <c r="A14" s="4"/>
      <c r="B14" s="57" t="s">
        <v>7</v>
      </c>
      <c r="C14" s="31" t="s">
        <v>47</v>
      </c>
      <c r="D14" s="32" t="s">
        <v>49</v>
      </c>
      <c r="E14" s="32" t="s">
        <v>83</v>
      </c>
      <c r="F14" s="32" t="s">
        <v>9</v>
      </c>
      <c r="G14" s="32" t="s">
        <v>10</v>
      </c>
      <c r="H14" s="32" t="s">
        <v>11</v>
      </c>
      <c r="I14" s="32" t="s">
        <v>12</v>
      </c>
      <c r="J14" s="32" t="s">
        <v>13</v>
      </c>
      <c r="K14" s="32" t="s">
        <v>50</v>
      </c>
      <c r="L14" s="33" t="s">
        <v>51</v>
      </c>
      <c r="M14" s="60" t="s">
        <v>15</v>
      </c>
      <c r="N14" s="87"/>
    </row>
    <row r="15" spans="1:14" ht="12.75">
      <c r="A15" s="4"/>
      <c r="B15" s="167">
        <f aca="true" t="shared" si="0" ref="B15:B20">C15/COS($F$6/180*PI())</f>
        <v>0</v>
      </c>
      <c r="C15" s="168">
        <v>0</v>
      </c>
      <c r="D15" s="34">
        <f aca="true" t="shared" si="1" ref="D15:D20">C15/0.9144</f>
        <v>0</v>
      </c>
      <c r="E15" s="222">
        <f>$F$3</f>
        <v>270</v>
      </c>
      <c r="F15" s="34">
        <f>F9</f>
        <v>239.47774216523584</v>
      </c>
      <c r="G15" s="34">
        <f>$F$10</f>
        <v>-124.70128711220596</v>
      </c>
      <c r="H15" s="35">
        <f>ATAN(G15/F15)*(180/3.14159)</f>
        <v>-27.506999999999998</v>
      </c>
      <c r="I15" s="34">
        <f aca="true" t="shared" si="2" ref="I15:I20">1/TAN(H15/180*PI())</f>
        <v>-1.9204092487706117</v>
      </c>
      <c r="J15" s="36">
        <f>0</f>
        <v>0</v>
      </c>
      <c r="K15" s="34">
        <v>0</v>
      </c>
      <c r="L15" s="37">
        <f aca="true" t="shared" si="3" ref="L15:L20">K15*2.54</f>
        <v>0</v>
      </c>
      <c r="M15" s="58"/>
      <c r="N15" s="88"/>
    </row>
    <row r="16" spans="1:14" ht="12.75">
      <c r="A16" s="4"/>
      <c r="B16" s="169">
        <f t="shared" si="0"/>
        <v>2.309401076758503</v>
      </c>
      <c r="C16" s="170">
        <f>C15+$F$12</f>
        <v>2</v>
      </c>
      <c r="D16" s="38">
        <f>C16/0.9144027</f>
        <v>2.1872201383482355</v>
      </c>
      <c r="E16" s="223">
        <f>SQRT(F16^2+G16^2)</f>
        <v>270.4084264375407</v>
      </c>
      <c r="F16" s="38">
        <f>F15</f>
        <v>239.47774216523584</v>
      </c>
      <c r="G16" s="38">
        <f>$F$10-32.185*J16</f>
        <v>-125.5831521179003</v>
      </c>
      <c r="H16" s="39">
        <f>ATAN(G16/F16)*(180/PI())</f>
        <v>-27.672708821446324</v>
      </c>
      <c r="I16" s="38">
        <f t="shared" si="2"/>
        <v>-1.9069257151660657</v>
      </c>
      <c r="J16" s="40">
        <f>D16*3/$F$9</f>
        <v>0.027399875895427746</v>
      </c>
      <c r="K16" s="38">
        <f>12*($F$10*J16-0.5*32.185*J16^2)-TAN($F$6*PI()/180)*D16*36</f>
        <v>4.313941442713833</v>
      </c>
      <c r="L16" s="41">
        <f>K16*2.54</f>
        <v>10.957411264493137</v>
      </c>
      <c r="M16" s="58"/>
      <c r="N16" s="88"/>
    </row>
    <row r="17" spans="1:14" ht="12.75">
      <c r="A17" s="4"/>
      <c r="B17" s="169">
        <f t="shared" si="0"/>
        <v>4.618802153517006</v>
      </c>
      <c r="C17" s="170">
        <f>C16+$F$12</f>
        <v>4</v>
      </c>
      <c r="D17" s="38">
        <f t="shared" si="1"/>
        <v>4.374453193350831</v>
      </c>
      <c r="E17" s="223">
        <f>SQRT(F17^2+G17^2)</f>
        <v>270.81911096866037</v>
      </c>
      <c r="F17" s="38">
        <f>F16</f>
        <v>239.47774216523584</v>
      </c>
      <c r="G17" s="38">
        <f>$F$10-32.185*J17</f>
        <v>-126.46502233145885</v>
      </c>
      <c r="H17" s="39">
        <f>ATAN(G17/F17)*(180/PI())</f>
        <v>-27.83794058348004</v>
      </c>
      <c r="I17" s="38">
        <f t="shared" si="2"/>
        <v>-1.8936282756316292</v>
      </c>
      <c r="J17" s="40">
        <f>D17*3/$F$9</f>
        <v>0.054799913601146215</v>
      </c>
      <c r="K17" s="38">
        <f>12*($F$10*J17-0.5*32.185*J17^2)-TAN($F$6*PI()/180)*D17*36</f>
        <v>8.33794989239719</v>
      </c>
      <c r="L17" s="41">
        <f t="shared" si="3"/>
        <v>21.178392726688866</v>
      </c>
      <c r="M17" s="58"/>
      <c r="N17" s="88"/>
    </row>
    <row r="18" spans="1:14" ht="12.75">
      <c r="A18" s="4"/>
      <c r="B18" s="169">
        <f t="shared" si="0"/>
        <v>6.928203230275509</v>
      </c>
      <c r="C18" s="170">
        <f>C17+$F$12</f>
        <v>6</v>
      </c>
      <c r="D18" s="38">
        <f t="shared" si="1"/>
        <v>6.561679790026247</v>
      </c>
      <c r="E18" s="223">
        <f>SQRT(F18^2+G18^2)</f>
        <v>271.23203971917854</v>
      </c>
      <c r="F18" s="38">
        <f>F17</f>
        <v>239.47774216523584</v>
      </c>
      <c r="G18" s="38">
        <f>$F$10-32.185*J18</f>
        <v>-127.3468899410853</v>
      </c>
      <c r="H18" s="39">
        <f>ATAN(G18/F18)*(180/PI())</f>
        <v>-28.002670121003934</v>
      </c>
      <c r="I18" s="38">
        <f t="shared" si="2"/>
        <v>-1.8805150426211885</v>
      </c>
      <c r="J18" s="40">
        <f>D18*3/$F$9</f>
        <v>0.08219987040171932</v>
      </c>
      <c r="K18" s="38">
        <f>12*($F$10*J18-0.5*32.185*J18^2)-TAN($F$6*PI()/180)*D18*36</f>
        <v>12.071988419259213</v>
      </c>
      <c r="L18" s="41">
        <f t="shared" si="3"/>
        <v>30.662850584918402</v>
      </c>
      <c r="M18" s="58"/>
      <c r="N18" s="88"/>
    </row>
    <row r="19" spans="1:14" ht="12.75">
      <c r="A19" s="4"/>
      <c r="B19" s="169">
        <f t="shared" si="0"/>
        <v>9.237604307034012</v>
      </c>
      <c r="C19" s="170">
        <f>C18+$F$12</f>
        <v>8</v>
      </c>
      <c r="D19" s="38">
        <f t="shared" si="1"/>
        <v>8.748906386701663</v>
      </c>
      <c r="E19" s="223">
        <f>SQRT(F19^2+G19^2)</f>
        <v>271.6472036586395</v>
      </c>
      <c r="F19" s="38">
        <f>F18</f>
        <v>239.47774216523584</v>
      </c>
      <c r="G19" s="38">
        <f>$F$10-32.185*J19</f>
        <v>-128.22875755071175</v>
      </c>
      <c r="H19" s="39">
        <f>ATAN(G19/F19)*(180/PI())</f>
        <v>-28.166897493594202</v>
      </c>
      <c r="I19" s="38">
        <f t="shared" si="2"/>
        <v>-1.8675821768804672</v>
      </c>
      <c r="J19" s="40">
        <f>D19*3/$F$9</f>
        <v>0.10959982720229243</v>
      </c>
      <c r="K19" s="38">
        <f>12*($F$10*J19-0.5*32.185*J19^2)-TAN($F$6*PI()/180)*D19*36</f>
        <v>15.51606933323012</v>
      </c>
      <c r="L19" s="41">
        <f t="shared" si="3"/>
        <v>39.41081610640451</v>
      </c>
      <c r="M19" s="58"/>
      <c r="N19" s="88"/>
    </row>
    <row r="20" spans="1:15" ht="13.5" thickBot="1">
      <c r="A20" s="4"/>
      <c r="B20" s="171">
        <f t="shared" si="0"/>
        <v>11.547005383792515</v>
      </c>
      <c r="C20" s="172">
        <f>C19+$F$12</f>
        <v>10</v>
      </c>
      <c r="D20" s="160">
        <f t="shared" si="1"/>
        <v>10.936132983377078</v>
      </c>
      <c r="E20" s="224">
        <f>SQRT(F20^2+G20^2)</f>
        <v>272.0645925545118</v>
      </c>
      <c r="F20" s="160">
        <f>F19</f>
        <v>239.47774216523584</v>
      </c>
      <c r="G20" s="160">
        <f>$F$10-32.185*J20</f>
        <v>-129.1106251603382</v>
      </c>
      <c r="H20" s="161">
        <f>ATAN(G20/F20)*(180/PI())</f>
        <v>-28.33062230781726</v>
      </c>
      <c r="I20" s="160">
        <f t="shared" si="2"/>
        <v>-1.854825982507918</v>
      </c>
      <c r="J20" s="162">
        <f>D20*3/$F$9</f>
        <v>0.13699978400286553</v>
      </c>
      <c r="K20" s="160">
        <f>12*($F$10*J20-0.5*32.185*J20^2)-TAN($F$6*PI()/180)*D20*36</f>
        <v>18.670192634310013</v>
      </c>
      <c r="L20" s="163">
        <f t="shared" si="3"/>
        <v>47.422289291147436</v>
      </c>
      <c r="M20" s="59">
        <f>0.5*ASIN(9.81*C20/$F$4^2)*180/PI()</f>
        <v>0.4149725581700464</v>
      </c>
      <c r="N20" s="125"/>
      <c r="O20" s="196">
        <f>ASIN(9.81*C20*COS($F$6/180*PI())/(2*$F$4^2*COS((M20+$F$6)/180*PI())))*180/PI()</f>
        <v>0.4132444999418554</v>
      </c>
    </row>
    <row r="21" spans="1:15" ht="6" customHeight="1">
      <c r="A21" s="4"/>
      <c r="B21" s="193"/>
      <c r="C21" s="192"/>
      <c r="D21" s="188"/>
      <c r="E21" s="189"/>
      <c r="F21" s="188"/>
      <c r="G21" s="188"/>
      <c r="H21" s="190"/>
      <c r="I21" s="188"/>
      <c r="J21" s="191"/>
      <c r="K21" s="188"/>
      <c r="L21" s="194"/>
      <c r="M21" s="195"/>
      <c r="N21" s="187"/>
      <c r="O21" s="164"/>
    </row>
    <row r="22" ht="11.25" customHeight="1"/>
    <row r="23" ht="13.5" customHeight="1">
      <c r="C23" s="166" t="s">
        <v>45</v>
      </c>
    </row>
    <row r="24" ht="5.25" customHeight="1" thickBot="1"/>
    <row r="25" spans="2:15" ht="14.25">
      <c r="B25" s="185" t="s">
        <v>52</v>
      </c>
      <c r="C25" s="197" t="s">
        <v>56</v>
      </c>
      <c r="D25" s="217" t="s">
        <v>53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9"/>
    </row>
    <row r="26" spans="2:15" ht="15" thickBot="1">
      <c r="B26" s="186" t="s">
        <v>55</v>
      </c>
      <c r="C26" s="200" t="s">
        <v>57</v>
      </c>
      <c r="D26" s="218" t="s">
        <v>54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2"/>
    </row>
    <row r="27" spans="2:15" ht="15.75" customHeight="1">
      <c r="B27" s="182" t="s">
        <v>87</v>
      </c>
      <c r="C27" s="203" t="s">
        <v>58</v>
      </c>
      <c r="D27" s="219" t="s">
        <v>71</v>
      </c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5"/>
    </row>
    <row r="28" spans="2:15" ht="15.75" customHeight="1">
      <c r="B28" s="165" t="s">
        <v>86</v>
      </c>
      <c r="C28" s="206" t="s">
        <v>59</v>
      </c>
      <c r="D28" s="220" t="s">
        <v>72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8"/>
    </row>
    <row r="29" spans="2:15" ht="15.75" customHeight="1">
      <c r="B29" s="165" t="s">
        <v>85</v>
      </c>
      <c r="C29" s="209" t="s">
        <v>60</v>
      </c>
      <c r="D29" s="220" t="s">
        <v>73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8"/>
    </row>
    <row r="30" spans="2:15" ht="15.75" customHeight="1">
      <c r="B30" s="165" t="s">
        <v>84</v>
      </c>
      <c r="C30" s="210" t="s">
        <v>61</v>
      </c>
      <c r="D30" s="220" t="s">
        <v>42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/>
    </row>
    <row r="31" spans="2:15" ht="15.75" customHeight="1">
      <c r="B31" s="165" t="s">
        <v>88</v>
      </c>
      <c r="C31" s="209" t="s">
        <v>62</v>
      </c>
      <c r="D31" s="220" t="s">
        <v>74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8"/>
    </row>
    <row r="32" spans="2:15" ht="15.75" customHeight="1">
      <c r="B32" s="165" t="s">
        <v>89</v>
      </c>
      <c r="C32" s="209" t="s">
        <v>63</v>
      </c>
      <c r="D32" s="220" t="s">
        <v>75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</row>
    <row r="33" spans="2:15" ht="24">
      <c r="B33" s="165" t="s">
        <v>11</v>
      </c>
      <c r="C33" s="211" t="s">
        <v>64</v>
      </c>
      <c r="D33" s="220" t="s">
        <v>76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8"/>
    </row>
    <row r="34" spans="2:15" ht="24">
      <c r="B34" s="165" t="s">
        <v>12</v>
      </c>
      <c r="C34" s="209" t="s">
        <v>65</v>
      </c>
      <c r="D34" s="220" t="s">
        <v>77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8"/>
    </row>
    <row r="35" spans="2:15" ht="24">
      <c r="B35" s="165" t="s">
        <v>13</v>
      </c>
      <c r="C35" s="212" t="s">
        <v>66</v>
      </c>
      <c r="D35" s="220" t="s">
        <v>78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8"/>
    </row>
    <row r="36" spans="2:15" ht="15.75" customHeight="1">
      <c r="B36" s="165" t="s">
        <v>90</v>
      </c>
      <c r="C36" s="209" t="s">
        <v>67</v>
      </c>
      <c r="D36" s="220" t="s">
        <v>79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8"/>
    </row>
    <row r="37" spans="2:15" ht="15.75" customHeight="1" thickBot="1">
      <c r="B37" s="183" t="s">
        <v>91</v>
      </c>
      <c r="C37" s="213" t="s">
        <v>68</v>
      </c>
      <c r="D37" s="221" t="s">
        <v>80</v>
      </c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2"/>
    </row>
    <row r="38" spans="2:15" ht="24">
      <c r="B38" s="184" t="s">
        <v>43</v>
      </c>
      <c r="C38" s="214" t="s">
        <v>69</v>
      </c>
      <c r="D38" s="219" t="s">
        <v>81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5"/>
    </row>
    <row r="39" spans="2:15" ht="24" thickBot="1">
      <c r="B39" s="181" t="s">
        <v>44</v>
      </c>
      <c r="C39" s="215" t="s">
        <v>70</v>
      </c>
      <c r="D39" s="216" t="s">
        <v>82</v>
      </c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2"/>
    </row>
  </sheetData>
  <printOptions headings="1"/>
  <pageMargins left="0.85" right="0.75" top="0.25" bottom="1" header="0" footer="0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Curtidos Gregori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Gregori i Font</dc:creator>
  <cp:keywords/>
  <dc:description/>
  <cp:lastModifiedBy>Josep Gregori i Font</cp:lastModifiedBy>
  <cp:lastPrinted>2002-12-30T20:10:09Z</cp:lastPrinted>
  <dcterms:created xsi:type="dcterms:W3CDTF">2002-12-12T08:29:57Z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